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'Лист1'!$A$1:$H$281</definedName>
  </definedNames>
  <calcPr fullCalcOnLoad="1"/>
</workbook>
</file>

<file path=xl/sharedStrings.xml><?xml version="1.0" encoding="utf-8"?>
<sst xmlns="http://schemas.openxmlformats.org/spreadsheetml/2006/main" count="547" uniqueCount="287">
  <si>
    <t>Сведения о наличии мощности, свободной для технологического присоединения к электрическим сетям ООО "ЗСК"</t>
  </si>
  <si>
    <t>№ п/п</t>
  </si>
  <si>
    <t>наименование ТП</t>
  </si>
  <si>
    <t>уровни напряжения,кВ</t>
  </si>
  <si>
    <t>установленная мощность существующих трансформаторов в режиме n-1 (МВА)</t>
  </si>
  <si>
    <t>Загрузка центров питания по выданным техническим условиям, МВт</t>
  </si>
  <si>
    <t xml:space="preserve">ПС 110/35/10 №3 "Городская" </t>
  </si>
  <si>
    <t>РП - 2</t>
  </si>
  <si>
    <t>10/0,4</t>
  </si>
  <si>
    <t>ТП 37</t>
  </si>
  <si>
    <t>ТП 38</t>
  </si>
  <si>
    <t>ТП 39</t>
  </si>
  <si>
    <t>ТП 40</t>
  </si>
  <si>
    <t>ТП 41</t>
  </si>
  <si>
    <t>ТП 64</t>
  </si>
  <si>
    <t>ТП 65</t>
  </si>
  <si>
    <t>ТП 66</t>
  </si>
  <si>
    <t>ТП 67</t>
  </si>
  <si>
    <t>ТП 68</t>
  </si>
  <si>
    <t>ТП 69</t>
  </si>
  <si>
    <t>ТП 72</t>
  </si>
  <si>
    <t>ТП 76</t>
  </si>
  <si>
    <t>ТП 77</t>
  </si>
  <si>
    <t>ТП 78</t>
  </si>
  <si>
    <t>ТП 79</t>
  </si>
  <si>
    <t>РП- 1</t>
  </si>
  <si>
    <t>ТП 10</t>
  </si>
  <si>
    <t>ТП 26</t>
  </si>
  <si>
    <t>ТП 33</t>
  </si>
  <si>
    <t>ТП 36</t>
  </si>
  <si>
    <t>ТП 43</t>
  </si>
  <si>
    <t>ТП 44</t>
  </si>
  <si>
    <t>ТП 45</t>
  </si>
  <si>
    <t>ТП 46</t>
  </si>
  <si>
    <t>ТП 47</t>
  </si>
  <si>
    <t>ТП 48</t>
  </si>
  <si>
    <t>ТП 49</t>
  </si>
  <si>
    <t>ТП 50</t>
  </si>
  <si>
    <t>ТП 51</t>
  </si>
  <si>
    <t>ТП 52</t>
  </si>
  <si>
    <t>ТП 53</t>
  </si>
  <si>
    <t>ТП 54</t>
  </si>
  <si>
    <t>ТП 55</t>
  </si>
  <si>
    <t>ТП 56</t>
  </si>
  <si>
    <t>ТП 57</t>
  </si>
  <si>
    <t>ТП 58</t>
  </si>
  <si>
    <t>ТП 80</t>
  </si>
  <si>
    <t>ТП 89</t>
  </si>
  <si>
    <t>ТП 74</t>
  </si>
  <si>
    <t>ГКТП -9-18-83</t>
  </si>
  <si>
    <t>ГКТП 9-18-87</t>
  </si>
  <si>
    <t xml:space="preserve">ПС 35/10 №76 "Чумышская" </t>
  </si>
  <si>
    <t>ММТП76-15- 1</t>
  </si>
  <si>
    <t>КТП -76-15-2</t>
  </si>
  <si>
    <t>КТП -76-15-3</t>
  </si>
  <si>
    <t>КТП -76-15- 6</t>
  </si>
  <si>
    <t>ГКТП  76-15-7</t>
  </si>
  <si>
    <t>КТП  76-15-11</t>
  </si>
  <si>
    <t>ТП  -76-15- 16</t>
  </si>
  <si>
    <t>КТП 76-15- 18</t>
  </si>
  <si>
    <t>КТП 76-15- 25</t>
  </si>
  <si>
    <t>КТП -76-15-27</t>
  </si>
  <si>
    <t>ММТП 76-15-56</t>
  </si>
  <si>
    <t>КТП 76-15-  57</t>
  </si>
  <si>
    <t xml:space="preserve">ПС 35/10  №70 "Заринская" </t>
  </si>
  <si>
    <t>ГКТП 70-1 -  28</t>
  </si>
  <si>
    <t>КТП   70-1 - 36</t>
  </si>
  <si>
    <t>ММТП 70-1 -37</t>
  </si>
  <si>
    <t>ММТП 70-5- 38</t>
  </si>
  <si>
    <t>ММТП -70-5- 39</t>
  </si>
  <si>
    <t>КТП -70-5-  40</t>
  </si>
  <si>
    <t>ММТП- 70-5-41</t>
  </si>
  <si>
    <t xml:space="preserve">ГКТП -70-5- 42 </t>
  </si>
  <si>
    <t>КТП  -70-5- 43</t>
  </si>
  <si>
    <t>КТП -70-5-  44</t>
  </si>
  <si>
    <t>КТП -70-5-  45</t>
  </si>
  <si>
    <t>КТП 70-1 - 48</t>
  </si>
  <si>
    <t>ГКТП -70-5- 54</t>
  </si>
  <si>
    <t>ГКТП  70-1 -  60</t>
  </si>
  <si>
    <t>КТП   70-5-  63</t>
  </si>
  <si>
    <t>ГКТП  70-1 - 66</t>
  </si>
  <si>
    <t>ГКТП 70-1 - 68</t>
  </si>
  <si>
    <t>КТП   70-5-  69</t>
  </si>
  <si>
    <t>ГКТП 70-1 - 71</t>
  </si>
  <si>
    <t>ГКТП 70-5-76</t>
  </si>
  <si>
    <t>ГКТП 70-5-80</t>
  </si>
  <si>
    <t>ТП 70-1 -81</t>
  </si>
  <si>
    <t xml:space="preserve">ПС 110/10 №6 "Кокс" </t>
  </si>
  <si>
    <t>ГКТП  -6-3-4</t>
  </si>
  <si>
    <t>КТП -6-3-5</t>
  </si>
  <si>
    <t>КТП -6-3-  8</t>
  </si>
  <si>
    <t>ГКТПН6-11- 9</t>
  </si>
  <si>
    <t>ММТП6-11-10</t>
  </si>
  <si>
    <t>ММТП-6-3-12</t>
  </si>
  <si>
    <t>КТП -6-3-13</t>
  </si>
  <si>
    <t>КТП  6-11- 14</t>
  </si>
  <si>
    <t>КТП  -6-11-15</t>
  </si>
  <si>
    <t>КТП  -6-11- 17</t>
  </si>
  <si>
    <t>КТП -6-3-19</t>
  </si>
  <si>
    <t>ГКТП -6-3-20</t>
  </si>
  <si>
    <t>КТП  -6-3-21</t>
  </si>
  <si>
    <t>КТП  6-11-  22</t>
  </si>
  <si>
    <t>КТП   6-11- 23</t>
  </si>
  <si>
    <t>ГКТП 6-11-24</t>
  </si>
  <si>
    <t>ГКТП  6-22-  26</t>
  </si>
  <si>
    <t>КМТП  6-11-  29</t>
  </si>
  <si>
    <t>ГКТП6-11-  30</t>
  </si>
  <si>
    <t>ММТП  6-22- 31</t>
  </si>
  <si>
    <t>ГКТП  6-22- 32</t>
  </si>
  <si>
    <t>ГКТП   6-22- 33</t>
  </si>
  <si>
    <t>КМТП  6-22-  35</t>
  </si>
  <si>
    <t>КТП  6-22- 47</t>
  </si>
  <si>
    <t>КТП  6-11-  50</t>
  </si>
  <si>
    <t>ГКТП 6-11- 51</t>
  </si>
  <si>
    <t>КТП  6-11- 52</t>
  </si>
  <si>
    <t>КТП  6-22-  53</t>
  </si>
  <si>
    <t>КТП 6-11-  55</t>
  </si>
  <si>
    <t>КТП   6-11- 58</t>
  </si>
  <si>
    <t>ММТП   6-11-59</t>
  </si>
  <si>
    <t>КТП  -6-22-  62</t>
  </si>
  <si>
    <t>ГКТП 6-20-65</t>
  </si>
  <si>
    <t>КТП  6-22-  67</t>
  </si>
  <si>
    <t>КТП   6-11-70</t>
  </si>
  <si>
    <t>КТП   6-11-72</t>
  </si>
  <si>
    <t>ГКТП   6-3-73</t>
  </si>
  <si>
    <t>ГКТП   6-3-74</t>
  </si>
  <si>
    <t>ГКТП 6-11-75</t>
  </si>
  <si>
    <t>ГКТП 6-3-77</t>
  </si>
  <si>
    <t>ГКТП 6-11-78</t>
  </si>
  <si>
    <t>ГКТП 6-22-79</t>
  </si>
  <si>
    <t>ТП 6-11-84</t>
  </si>
  <si>
    <t>КМТП 6-22-85</t>
  </si>
  <si>
    <t>КТП 6-11-86</t>
  </si>
  <si>
    <t>ГКТПП 6-3-88</t>
  </si>
  <si>
    <t>ГКТП 6-11-89</t>
  </si>
  <si>
    <t xml:space="preserve">ПС 35/10 №71 "Залесовская" </t>
  </si>
  <si>
    <t>ГКТП 71-6-1</t>
  </si>
  <si>
    <t>ГКТП 71-6-2</t>
  </si>
  <si>
    <t>ГКТП 71-6-3</t>
  </si>
  <si>
    <t>ГКТП 71-6-4</t>
  </si>
  <si>
    <t>КТП 71-6-5</t>
  </si>
  <si>
    <t>КТП 71-6-6</t>
  </si>
  <si>
    <t>КТП 71-6-7</t>
  </si>
  <si>
    <t>КТП 71-6-8</t>
  </si>
  <si>
    <t>КТП 71-6-9</t>
  </si>
  <si>
    <t>КТП 71-6-10</t>
  </si>
  <si>
    <t>КТП 71-6-11</t>
  </si>
  <si>
    <t>КТП 71-5-12</t>
  </si>
  <si>
    <t>КТП 71-5-13</t>
  </si>
  <si>
    <t>КТП 71-5-14</t>
  </si>
  <si>
    <t>КТП 71-5-15</t>
  </si>
  <si>
    <t>ГКТП 71-5-17</t>
  </si>
  <si>
    <t>КТП 71-5-18</t>
  </si>
  <si>
    <t>ГКТП 71-5-19</t>
  </si>
  <si>
    <t>КТП 71-6-20</t>
  </si>
  <si>
    <t>КТП 71-6-21</t>
  </si>
  <si>
    <t>КТП 71-6-22</t>
  </si>
  <si>
    <t>КТП 71-6-23</t>
  </si>
  <si>
    <t>КТП 71-6-24</t>
  </si>
  <si>
    <t>КТП 71-6-25</t>
  </si>
  <si>
    <t>КТП 71-6-26</t>
  </si>
  <si>
    <t>КТП 71-5-27</t>
  </si>
  <si>
    <t>КТП 71-5-28</t>
  </si>
  <si>
    <t>КТП 71-6-29</t>
  </si>
  <si>
    <t>КТП 71-5-30</t>
  </si>
  <si>
    <t>КТП 71-6-31</t>
  </si>
  <si>
    <t>КТП 71-6-32</t>
  </si>
  <si>
    <t>КТП 71-5-33</t>
  </si>
  <si>
    <t>КТП 71-5-34</t>
  </si>
  <si>
    <t>КТП 71-5-35</t>
  </si>
  <si>
    <t>КТП 71-5-36</t>
  </si>
  <si>
    <t>КТП 71-5-37</t>
  </si>
  <si>
    <t>КТП 71-6-38</t>
  </si>
  <si>
    <t>ГКТП 71-5-40</t>
  </si>
  <si>
    <t xml:space="preserve">ПС №59 "Кытмановская" </t>
  </si>
  <si>
    <t>КТП-59-1-1</t>
  </si>
  <si>
    <t>КТП-59-1-2</t>
  </si>
  <si>
    <t>КТП-59-1-3</t>
  </si>
  <si>
    <t>ГКТП-59-1-4</t>
  </si>
  <si>
    <t>КТП-59-1-5</t>
  </si>
  <si>
    <t>КТП-59-1-6</t>
  </si>
  <si>
    <t>КТП-59-1-7</t>
  </si>
  <si>
    <t>КТП-59-1-8</t>
  </si>
  <si>
    <t>КТП-59-1-9</t>
  </si>
  <si>
    <t>КТП-59-1-10</t>
  </si>
  <si>
    <t>ТП-59-1-11</t>
  </si>
  <si>
    <t>ГКТП-59-1-12</t>
  </si>
  <si>
    <t>КТП-59-1-13</t>
  </si>
  <si>
    <t>ГКТП-59-1-14</t>
  </si>
  <si>
    <t>КТП-59-1-15</t>
  </si>
  <si>
    <t>КТП-59-1-16</t>
  </si>
  <si>
    <t>КТП-59-1-17</t>
  </si>
  <si>
    <t>КТП-59-1-18</t>
  </si>
  <si>
    <t>КТП-59-1-19</t>
  </si>
  <si>
    <t>КТП-59-1-20</t>
  </si>
  <si>
    <t>КТП-59-7-21</t>
  </si>
  <si>
    <t>ТП-59-7-22</t>
  </si>
  <si>
    <t>КТП-59-7-23</t>
  </si>
  <si>
    <t>ГКТП-59-7-24</t>
  </si>
  <si>
    <t>КТП-59-1-25</t>
  </si>
  <si>
    <t>КТП-59-1-26</t>
  </si>
  <si>
    <t>КТП-59-1-27</t>
  </si>
  <si>
    <t>КТП-59-1-28</t>
  </si>
  <si>
    <t>КТП-59-1-29</t>
  </si>
  <si>
    <t>ГКТП-59-1-30</t>
  </si>
  <si>
    <t>КТП-59-1-32</t>
  </si>
  <si>
    <t>КТП-59-7-33</t>
  </si>
  <si>
    <t>КТП-59-7-34</t>
  </si>
  <si>
    <t>КТП-59-1-35</t>
  </si>
  <si>
    <t>КТП-59-7-36</t>
  </si>
  <si>
    <t xml:space="preserve">ПС 110/10 №58 "Тогульская" </t>
  </si>
  <si>
    <t>КТП 58-3-1</t>
  </si>
  <si>
    <t>КТП 58-3-2</t>
  </si>
  <si>
    <t>КТП 58-3-3</t>
  </si>
  <si>
    <t>КТП 58-3-4</t>
  </si>
  <si>
    <t>КТП 58-3-5</t>
  </si>
  <si>
    <t>ГКТП 58-3-6</t>
  </si>
  <si>
    <t>КТП 58-3-7</t>
  </si>
  <si>
    <t>ГКТП 58-3-8</t>
  </si>
  <si>
    <t>КТП-58-3-9</t>
  </si>
  <si>
    <t>КТП 58-3-10</t>
  </si>
  <si>
    <t>КТП 58-3-11</t>
  </si>
  <si>
    <t>КТП 58-3-12</t>
  </si>
  <si>
    <t>КТП 58-3-13</t>
  </si>
  <si>
    <t>КТП 58-5-1</t>
  </si>
  <si>
    <t>КТП 58-5-2</t>
  </si>
  <si>
    <t>КТП 58-5-3</t>
  </si>
  <si>
    <t>КТП 58-5-4</t>
  </si>
  <si>
    <t>КТП 58-5-5</t>
  </si>
  <si>
    <t>КТП 58-5-6</t>
  </si>
  <si>
    <t>КТП 58-5-7</t>
  </si>
  <si>
    <t>КТП 58-5-8</t>
  </si>
  <si>
    <t>КТП 58-5-11</t>
  </si>
  <si>
    <t>КТП 58-5-12</t>
  </si>
  <si>
    <t>КТП 58-5-13</t>
  </si>
  <si>
    <t>СП 10 74-4-1 (Голуха)</t>
  </si>
  <si>
    <t>КТП 74-4-1</t>
  </si>
  <si>
    <t>ПКТП 74-4-2</t>
  </si>
  <si>
    <t>ГКТП 74-4-4</t>
  </si>
  <si>
    <t>КТП  ПВ 74-4-5</t>
  </si>
  <si>
    <t>КТП 74-4-6</t>
  </si>
  <si>
    <t>ТП 74-4-8</t>
  </si>
  <si>
    <t>КТП  ЗС 74-4-9</t>
  </si>
  <si>
    <t>КТП ЗС  74-4-10</t>
  </si>
  <si>
    <t>КТП 74-4-12</t>
  </si>
  <si>
    <t xml:space="preserve">ПС 220/27,5/10 ЭЧЭ № 406 "Тяговая" </t>
  </si>
  <si>
    <t>КТП 406-4-1</t>
  </si>
  <si>
    <t>27/10</t>
  </si>
  <si>
    <t>КТП 406-4-2</t>
  </si>
  <si>
    <t>ТП 406-4-2</t>
  </si>
  <si>
    <t>КТП 406-2-3</t>
  </si>
  <si>
    <t>КТП 406-4-4</t>
  </si>
  <si>
    <t>ГКТП 406-3-5</t>
  </si>
  <si>
    <t>КТП 406-3-6</t>
  </si>
  <si>
    <t>КТП 406-2-7</t>
  </si>
  <si>
    <t>КТП 406-2-8</t>
  </si>
  <si>
    <t>КТП 406-2-9</t>
  </si>
  <si>
    <t>КТП 406-3-10</t>
  </si>
  <si>
    <t>КТП 406-3-11</t>
  </si>
  <si>
    <t>КТП 406-2-12</t>
  </si>
  <si>
    <t>КТП 406-3-14</t>
  </si>
  <si>
    <t>КТП 406-3-15</t>
  </si>
  <si>
    <t>с.Аламбай</t>
  </si>
  <si>
    <t>РУ 0,4 МТП-1</t>
  </si>
  <si>
    <t>27/0,4</t>
  </si>
  <si>
    <t>РУ 0,4 ММТП -2</t>
  </si>
  <si>
    <t>ТП-71-6-39</t>
  </si>
  <si>
    <t>ГКТП 77-8-1</t>
  </si>
  <si>
    <t>ГКТП 77-8-15</t>
  </si>
  <si>
    <t>ГКТП 77-8-17</t>
  </si>
  <si>
    <t>ПС 35/10 №77 "Хмелёвская" (с.Каменушка)</t>
  </si>
  <si>
    <t>ПС 35/10 №35 "Санниковская" (с.Санниково, с. Фирсово)</t>
  </si>
  <si>
    <t>ГКТП 35-3-26</t>
  </si>
  <si>
    <t>ГКТП 35-3-27</t>
  </si>
  <si>
    <t>ГКТП 35-3-28</t>
  </si>
  <si>
    <t>ГКТП 35-3-29</t>
  </si>
  <si>
    <t>ГКТП 35-3-30</t>
  </si>
  <si>
    <t>ГКТП 35-3-31</t>
  </si>
  <si>
    <t>ГКТП 35-3-32</t>
  </si>
  <si>
    <t>ГКТП 35-13-14</t>
  </si>
  <si>
    <t>ГКТП 35-13-15</t>
  </si>
  <si>
    <t>КТП   70-16 - 46</t>
  </si>
  <si>
    <t>ГКТП 70-16 -  34</t>
  </si>
  <si>
    <t>КТП  -70-16 - 64</t>
  </si>
  <si>
    <t>Планируемый резерв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присоединение, МВт</t>
  </si>
  <si>
    <t>загрузка центров питания(по результатам контрольного замера зима (лето) 2019 г. с учетом присоединяемых потребителей, МВт</t>
  </si>
  <si>
    <t>по состоянию на 31 марта 2022 г. по центрам питания ниже 35кВ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</si>
</sst>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 readingOrder="1"/>
    </xf>
    <xf numFmtId="0" fontId="38" fillId="0" borderId="10" xfId="0" applyFont="1" applyFill="1" applyBorder="1" applyAlignment="1">
      <alignment horizontal="center" vertical="top" readingOrder="1"/>
    </xf>
    <xf numFmtId="180" fontId="38" fillId="0" borderId="10" xfId="0" applyNumberFormat="1" applyFont="1" applyFill="1" applyBorder="1" applyAlignment="1">
      <alignment horizontal="center" vertical="top" readingOrder="1"/>
    </xf>
    <xf numFmtId="0" fontId="38" fillId="0" borderId="10" xfId="0" applyFont="1" applyFill="1" applyBorder="1" applyAlignment="1">
      <alignment horizontal="center" vertical="top"/>
    </xf>
    <xf numFmtId="180" fontId="38" fillId="0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readingOrder="1"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0" fillId="0" borderId="11" xfId="0" applyFont="1" applyFill="1" applyBorder="1" applyAlignment="1">
      <alignment horizontal="center" vertical="center" wrapText="1" readingOrder="1"/>
    </xf>
    <xf numFmtId="0" fontId="40" fillId="0" borderId="12" xfId="0" applyFont="1" applyFill="1" applyBorder="1" applyAlignment="1">
      <alignment horizontal="center" vertical="center" wrapText="1" readingOrder="1"/>
    </xf>
    <xf numFmtId="0" fontId="40" fillId="0" borderId="13" xfId="0" applyFont="1" applyFill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8515625" style="0" customWidth="1"/>
    <col min="2" max="2" width="18.7109375" style="0" customWidth="1"/>
    <col min="3" max="3" width="13.00390625" style="0" customWidth="1"/>
    <col min="4" max="4" width="14.28125" style="0" customWidth="1"/>
    <col min="5" max="5" width="18.28125" style="0" customWidth="1"/>
    <col min="6" max="6" width="23.140625" style="17" customWidth="1"/>
    <col min="7" max="7" width="25.14062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">
      <c r="A2" s="22" t="s">
        <v>286</v>
      </c>
      <c r="B2" s="22"/>
      <c r="C2" s="22"/>
      <c r="D2" s="22"/>
      <c r="E2" s="22"/>
      <c r="F2" s="22"/>
      <c r="G2" s="22"/>
    </row>
    <row r="3" spans="1:7" ht="141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285</v>
      </c>
      <c r="F3" s="12" t="s">
        <v>5</v>
      </c>
      <c r="G3" s="1" t="s">
        <v>284</v>
      </c>
    </row>
    <row r="4" spans="1:7" ht="15">
      <c r="A4" s="23" t="s">
        <v>6</v>
      </c>
      <c r="B4" s="24"/>
      <c r="C4" s="24"/>
      <c r="D4" s="24"/>
      <c r="E4" s="24"/>
      <c r="F4" s="24"/>
      <c r="G4" s="25"/>
    </row>
    <row r="5" spans="1:7" ht="15.75">
      <c r="A5" s="3">
        <v>1</v>
      </c>
      <c r="B5" s="3" t="s">
        <v>7</v>
      </c>
      <c r="C5" s="4" t="s">
        <v>8</v>
      </c>
      <c r="D5" s="3">
        <v>0.63</v>
      </c>
      <c r="E5" s="5">
        <v>0.503</v>
      </c>
      <c r="F5" s="13">
        <v>0.623</v>
      </c>
      <c r="G5" s="5">
        <v>0.001</v>
      </c>
    </row>
    <row r="6" spans="1:7" ht="15.75">
      <c r="A6" s="3">
        <v>2</v>
      </c>
      <c r="B6" s="3" t="s">
        <v>9</v>
      </c>
      <c r="C6" s="4" t="s">
        <v>8</v>
      </c>
      <c r="D6" s="3">
        <v>0.63</v>
      </c>
      <c r="E6" s="5">
        <v>0.23527999999999996</v>
      </c>
      <c r="F6" s="13">
        <v>0.508</v>
      </c>
      <c r="G6" s="5">
        <v>0.206</v>
      </c>
    </row>
    <row r="7" spans="1:7" ht="15.75">
      <c r="A7" s="3">
        <v>3</v>
      </c>
      <c r="B7" s="3" t="s">
        <v>10</v>
      </c>
      <c r="C7" s="4" t="s">
        <v>8</v>
      </c>
      <c r="D7" s="3">
        <v>0.63</v>
      </c>
      <c r="E7" s="5">
        <v>0.22835999999999998</v>
      </c>
      <c r="F7" s="13">
        <v>0.541</v>
      </c>
      <c r="G7" s="5">
        <v>0.22627272727272735</v>
      </c>
    </row>
    <row r="8" spans="1:7" ht="15.75">
      <c r="A8" s="3">
        <v>4</v>
      </c>
      <c r="B8" s="3" t="s">
        <v>11</v>
      </c>
      <c r="C8" s="4" t="s">
        <v>8</v>
      </c>
      <c r="D8" s="3">
        <v>0.63</v>
      </c>
      <c r="E8" s="5">
        <v>0.24988119999999997</v>
      </c>
      <c r="F8" s="13">
        <v>0.701</v>
      </c>
      <c r="G8" s="5">
        <v>0.166</v>
      </c>
    </row>
    <row r="9" spans="1:7" ht="15.75">
      <c r="A9" s="3">
        <v>5</v>
      </c>
      <c r="B9" s="3" t="s">
        <v>12</v>
      </c>
      <c r="C9" s="4" t="s">
        <v>8</v>
      </c>
      <c r="D9" s="3">
        <v>0.63</v>
      </c>
      <c r="E9" s="5">
        <v>0.32524</v>
      </c>
      <c r="F9" s="13">
        <f>0.58+0.001</f>
        <v>0.581</v>
      </c>
      <c r="G9" s="5">
        <f>0.187-0.01</f>
        <v>0.177</v>
      </c>
    </row>
    <row r="10" spans="1:7" ht="15.75">
      <c r="A10" s="3">
        <v>6</v>
      </c>
      <c r="B10" s="3" t="s">
        <v>13</v>
      </c>
      <c r="C10" s="4" t="s">
        <v>8</v>
      </c>
      <c r="D10" s="3">
        <v>0.63</v>
      </c>
      <c r="E10" s="5">
        <v>0.22863679999999995</v>
      </c>
      <c r="F10" s="13">
        <f>0.608+0.013+0.015</f>
        <v>0.636</v>
      </c>
      <c r="G10" s="5">
        <f>0.069-0.013-0.015</f>
        <v>0.04100000000000001</v>
      </c>
    </row>
    <row r="11" spans="1:7" ht="15.75">
      <c r="A11" s="3">
        <v>7</v>
      </c>
      <c r="B11" s="3" t="s">
        <v>14</v>
      </c>
      <c r="C11" s="4" t="s">
        <v>8</v>
      </c>
      <c r="D11" s="3">
        <v>0.63</v>
      </c>
      <c r="E11" s="5">
        <v>0.30793999999999994</v>
      </c>
      <c r="F11" s="13">
        <v>0.637</v>
      </c>
      <c r="G11" s="5">
        <v>0.175</v>
      </c>
    </row>
    <row r="12" spans="1:7" ht="15.75">
      <c r="A12" s="3">
        <v>8</v>
      </c>
      <c r="B12" s="3" t="s">
        <v>15</v>
      </c>
      <c r="C12" s="4" t="s">
        <v>8</v>
      </c>
      <c r="D12" s="3">
        <v>0.63</v>
      </c>
      <c r="E12" s="5">
        <v>0.18753199999999998</v>
      </c>
      <c r="F12" s="13">
        <v>0.534</v>
      </c>
      <c r="G12" s="5">
        <v>0.333</v>
      </c>
    </row>
    <row r="13" spans="1:7" ht="15.75">
      <c r="A13" s="3">
        <v>9</v>
      </c>
      <c r="B13" s="3" t="s">
        <v>16</v>
      </c>
      <c r="C13" s="4" t="s">
        <v>8</v>
      </c>
      <c r="D13" s="3">
        <v>0.63</v>
      </c>
      <c r="E13" s="5">
        <v>0.24012399999999998</v>
      </c>
      <c r="F13" s="13">
        <v>0.58</v>
      </c>
      <c r="G13" s="5">
        <v>0.2870000000000001</v>
      </c>
    </row>
    <row r="14" spans="1:7" ht="15.75">
      <c r="A14" s="3">
        <v>10</v>
      </c>
      <c r="B14" s="3" t="s">
        <v>17</v>
      </c>
      <c r="C14" s="4" t="s">
        <v>8</v>
      </c>
      <c r="D14" s="3">
        <v>0.63</v>
      </c>
      <c r="E14" s="5">
        <v>0.19445199999999999</v>
      </c>
      <c r="F14" s="13">
        <f>0.613+0.01</f>
        <v>0.623</v>
      </c>
      <c r="G14" s="5">
        <f>0.0842727272727273-0.01</f>
        <v>0.07427272727272731</v>
      </c>
    </row>
    <row r="15" spans="1:7" ht="15.75">
      <c r="A15" s="3">
        <v>11</v>
      </c>
      <c r="B15" s="3" t="s">
        <v>18</v>
      </c>
      <c r="C15" s="4" t="s">
        <v>8</v>
      </c>
      <c r="D15" s="3">
        <v>0.4</v>
      </c>
      <c r="E15" s="5">
        <v>0.130096</v>
      </c>
      <c r="F15" s="13">
        <f>0.815+0.06+0.025+0.02+0.01+0.005+0.013+0.02+0.029+0.022</f>
        <v>1.0190000000000001</v>
      </c>
      <c r="G15" s="5">
        <f>-0.248-0.06-0.025-0.02-0.01-0.005-0.013-0.02-0.029-0.022</f>
        <v>-0.4520000000000001</v>
      </c>
    </row>
    <row r="16" spans="1:7" ht="15.75">
      <c r="A16" s="3">
        <v>12</v>
      </c>
      <c r="B16" s="3" t="s">
        <v>19</v>
      </c>
      <c r="C16" s="4" t="s">
        <v>8</v>
      </c>
      <c r="D16" s="3">
        <v>0.63</v>
      </c>
      <c r="E16" s="5">
        <v>0.09480399999999999</v>
      </c>
      <c r="F16" s="13">
        <v>0.606</v>
      </c>
      <c r="G16" s="5">
        <v>0.411</v>
      </c>
    </row>
    <row r="17" spans="1:7" ht="15.75">
      <c r="A17" s="3">
        <v>13</v>
      </c>
      <c r="B17" s="3" t="s">
        <v>20</v>
      </c>
      <c r="C17" s="4" t="s">
        <v>8</v>
      </c>
      <c r="D17" s="3">
        <v>0.63</v>
      </c>
      <c r="E17" s="5">
        <v>0.27901439999999994</v>
      </c>
      <c r="F17" s="13">
        <f>0.781+0.007</f>
        <v>0.788</v>
      </c>
      <c r="G17" s="5">
        <f>-0.214-0.007</f>
        <v>-0.221</v>
      </c>
    </row>
    <row r="18" spans="1:7" ht="15.75">
      <c r="A18" s="3">
        <v>14</v>
      </c>
      <c r="B18" s="3" t="s">
        <v>21</v>
      </c>
      <c r="C18" s="4" t="s">
        <v>8</v>
      </c>
      <c r="D18" s="3">
        <v>0.63</v>
      </c>
      <c r="E18" s="5">
        <v>0.43090839999999997</v>
      </c>
      <c r="F18" s="13">
        <f>0.774+0.005+0.003+0.005+0.031+0.013+0.016+0.01+0.027+0.01</f>
        <v>0.8940000000000001</v>
      </c>
      <c r="G18" s="5">
        <f>-0.099-0.005-0.003-0.005-0.031-0.013-0.016-0.01-0.027-0.01</f>
        <v>-0.21900000000000006</v>
      </c>
    </row>
    <row r="19" spans="1:7" ht="15.75">
      <c r="A19" s="3">
        <v>15</v>
      </c>
      <c r="B19" s="3" t="s">
        <v>22</v>
      </c>
      <c r="C19" s="4" t="s">
        <v>8</v>
      </c>
      <c r="D19" s="3">
        <v>0.4</v>
      </c>
      <c r="E19" s="5">
        <v>0.2682192</v>
      </c>
      <c r="F19" s="13">
        <f>0.417+0.007</f>
        <v>0.424</v>
      </c>
      <c r="G19" s="5">
        <f>0.15-0.007</f>
        <v>0.143</v>
      </c>
    </row>
    <row r="20" spans="1:7" ht="15.75">
      <c r="A20" s="3">
        <v>16</v>
      </c>
      <c r="B20" s="3" t="s">
        <v>23</v>
      </c>
      <c r="C20" s="4" t="s">
        <v>8</v>
      </c>
      <c r="D20" s="3">
        <v>0.4</v>
      </c>
      <c r="E20" s="5">
        <v>0.27949879999999994</v>
      </c>
      <c r="F20" s="13">
        <v>0.396</v>
      </c>
      <c r="G20" s="5">
        <v>0.024</v>
      </c>
    </row>
    <row r="21" spans="1:7" ht="15.75">
      <c r="A21" s="3">
        <v>17</v>
      </c>
      <c r="B21" s="3" t="s">
        <v>24</v>
      </c>
      <c r="C21" s="4" t="s">
        <v>8</v>
      </c>
      <c r="D21" s="3">
        <v>0.63</v>
      </c>
      <c r="E21" s="5">
        <v>0.21036799999999997</v>
      </c>
      <c r="F21" s="13">
        <v>0.594</v>
      </c>
      <c r="G21" s="5">
        <v>0.37336363636363645</v>
      </c>
    </row>
    <row r="22" spans="1:7" ht="15.75">
      <c r="A22" s="3">
        <v>18</v>
      </c>
      <c r="B22" s="3" t="s">
        <v>25</v>
      </c>
      <c r="C22" s="4" t="s">
        <v>8</v>
      </c>
      <c r="D22" s="3">
        <v>0.63</v>
      </c>
      <c r="E22" s="5">
        <v>0.11210399999999998</v>
      </c>
      <c r="F22" s="13">
        <f>0.331+0.025</f>
        <v>0.35600000000000004</v>
      </c>
      <c r="G22" s="5">
        <f>0.236-0.025</f>
        <v>0.211</v>
      </c>
    </row>
    <row r="23" spans="1:7" ht="15.75">
      <c r="A23" s="3">
        <v>19</v>
      </c>
      <c r="B23" s="3" t="s">
        <v>26</v>
      </c>
      <c r="C23" s="4" t="s">
        <v>8</v>
      </c>
      <c r="D23" s="3">
        <v>0.63</v>
      </c>
      <c r="E23" s="5">
        <v>0.28288959999999996</v>
      </c>
      <c r="F23" s="13">
        <v>0.5645454545454545</v>
      </c>
      <c r="G23" s="5">
        <v>0.002454545454545598</v>
      </c>
    </row>
    <row r="24" spans="1:7" ht="15.75">
      <c r="A24" s="3">
        <v>20</v>
      </c>
      <c r="B24" s="3" t="s">
        <v>27</v>
      </c>
      <c r="C24" s="4" t="s">
        <v>8</v>
      </c>
      <c r="D24" s="3">
        <v>0.63</v>
      </c>
      <c r="E24" s="5">
        <v>0.19583599999999998</v>
      </c>
      <c r="F24" s="13">
        <v>0.541</v>
      </c>
      <c r="G24" s="5">
        <v>0.296</v>
      </c>
    </row>
    <row r="25" spans="1:7" ht="15.75">
      <c r="A25" s="3">
        <v>21</v>
      </c>
      <c r="B25" s="3" t="s">
        <v>28</v>
      </c>
      <c r="C25" s="4" t="s">
        <v>8</v>
      </c>
      <c r="D25" s="3">
        <v>0.4</v>
      </c>
      <c r="E25" s="5">
        <v>0.42384999999999995</v>
      </c>
      <c r="F25" s="13">
        <v>0.54</v>
      </c>
      <c r="G25" s="5">
        <v>0.027</v>
      </c>
    </row>
    <row r="26" spans="1:7" ht="15.75">
      <c r="A26" s="3">
        <v>22</v>
      </c>
      <c r="B26" s="3" t="s">
        <v>29</v>
      </c>
      <c r="C26" s="4" t="s">
        <v>8</v>
      </c>
      <c r="D26" s="3">
        <v>0.63</v>
      </c>
      <c r="E26" s="5">
        <v>0.17715199999999998</v>
      </c>
      <c r="F26" s="13">
        <f>0.6+0.015+0.012+0.073+0.073+0.033+0.023+0.02+0.027</f>
        <v>0.876</v>
      </c>
      <c r="G26" s="5">
        <f>-0.012-0.015-0.012-0.073-0.073-0.033-0.023-0.02-0.027</f>
        <v>-0.28800000000000003</v>
      </c>
    </row>
    <row r="27" spans="1:7" ht="15.75">
      <c r="A27" s="3">
        <v>23</v>
      </c>
      <c r="B27" s="3" t="s">
        <v>30</v>
      </c>
      <c r="C27" s="4" t="s">
        <v>8</v>
      </c>
      <c r="D27" s="3">
        <v>0.4</v>
      </c>
      <c r="E27" s="5">
        <v>0.22489999999999996</v>
      </c>
      <c r="F27" s="13">
        <v>0.401</v>
      </c>
      <c r="G27" s="5">
        <v>0.109</v>
      </c>
    </row>
    <row r="28" spans="1:7" ht="15.75">
      <c r="A28" s="3">
        <v>24</v>
      </c>
      <c r="B28" s="3" t="s">
        <v>31</v>
      </c>
      <c r="C28" s="4" t="s">
        <v>8</v>
      </c>
      <c r="D28" s="3">
        <v>0.4</v>
      </c>
      <c r="E28" s="5">
        <v>0.1451816</v>
      </c>
      <c r="F28" s="13">
        <f>0.437+0.04</f>
        <v>0.477</v>
      </c>
      <c r="G28" s="5">
        <f>0.023-0.04</f>
        <v>-0.017</v>
      </c>
    </row>
    <row r="29" spans="1:7" ht="15.75">
      <c r="A29" s="3">
        <v>25</v>
      </c>
      <c r="B29" s="3" t="s">
        <v>32</v>
      </c>
      <c r="C29" s="4" t="s">
        <v>8</v>
      </c>
      <c r="D29" s="3">
        <v>0.4</v>
      </c>
      <c r="E29" s="5">
        <v>0.21590399999999998</v>
      </c>
      <c r="F29" s="13">
        <f>0.48+0.035</f>
        <v>0.515</v>
      </c>
      <c r="G29" s="5">
        <f>-0.02-0.035</f>
        <v>-0.05500000000000001</v>
      </c>
    </row>
    <row r="30" spans="1:7" ht="15.75">
      <c r="A30" s="3">
        <v>26</v>
      </c>
      <c r="B30" s="3" t="s">
        <v>33</v>
      </c>
      <c r="C30" s="4" t="s">
        <v>8</v>
      </c>
      <c r="D30" s="3">
        <v>0.63</v>
      </c>
      <c r="E30" s="5">
        <v>0.20552399999999998</v>
      </c>
      <c r="F30" s="13">
        <f>0.583+0.037</f>
        <v>0.62</v>
      </c>
      <c r="G30" s="5">
        <f>0.184272727272727-0.037</f>
        <v>0.147272727272727</v>
      </c>
    </row>
    <row r="31" spans="1:7" ht="15.75">
      <c r="A31" s="3">
        <v>27</v>
      </c>
      <c r="B31" s="3" t="s">
        <v>34</v>
      </c>
      <c r="C31" s="4" t="s">
        <v>8</v>
      </c>
      <c r="D31" s="3">
        <v>0.4</v>
      </c>
      <c r="E31" s="5">
        <v>0.23735599999999996</v>
      </c>
      <c r="F31" s="13">
        <f>0.377+0.03+0.03+0.007</f>
        <v>0.44400000000000006</v>
      </c>
      <c r="G31" s="5">
        <f>0.0327272727272728-0.03-0.03-0.007</f>
        <v>-0.0342727272727272</v>
      </c>
    </row>
    <row r="32" spans="1:7" ht="15.75">
      <c r="A32" s="3">
        <v>28</v>
      </c>
      <c r="B32" s="3" t="s">
        <v>35</v>
      </c>
      <c r="C32" s="4" t="s">
        <v>8</v>
      </c>
      <c r="D32" s="3">
        <v>0.4</v>
      </c>
      <c r="E32" s="5">
        <v>0.344616</v>
      </c>
      <c r="F32" s="13">
        <v>0.394</v>
      </c>
      <c r="G32" s="5">
        <v>0.2470000000000001</v>
      </c>
    </row>
    <row r="33" spans="1:7" ht="15.75">
      <c r="A33" s="3">
        <v>29</v>
      </c>
      <c r="B33" s="3" t="s">
        <v>36</v>
      </c>
      <c r="C33" s="4" t="s">
        <v>8</v>
      </c>
      <c r="D33" s="3">
        <v>0.63</v>
      </c>
      <c r="E33" s="5">
        <v>0.23597199999999996</v>
      </c>
      <c r="F33" s="13">
        <f>0.627+0.015</f>
        <v>0.642</v>
      </c>
      <c r="G33" s="5">
        <f>0.07-0.015</f>
        <v>0.05500000000000001</v>
      </c>
    </row>
    <row r="34" spans="1:7" ht="15.75">
      <c r="A34" s="3">
        <v>30</v>
      </c>
      <c r="B34" s="3" t="s">
        <v>37</v>
      </c>
      <c r="C34" s="4" t="s">
        <v>8</v>
      </c>
      <c r="D34" s="3">
        <v>0.4</v>
      </c>
      <c r="E34" s="5">
        <v>0.11902399999999999</v>
      </c>
      <c r="F34" s="13">
        <v>0.382</v>
      </c>
      <c r="G34" s="5">
        <v>0.17818181818181822</v>
      </c>
    </row>
    <row r="35" spans="1:7" ht="15.75">
      <c r="A35" s="3">
        <v>31</v>
      </c>
      <c r="B35" s="3" t="s">
        <v>38</v>
      </c>
      <c r="C35" s="4" t="s">
        <v>8</v>
      </c>
      <c r="D35" s="3">
        <v>0.63</v>
      </c>
      <c r="E35" s="5">
        <v>0.34669199999999994</v>
      </c>
      <c r="F35" s="13">
        <v>0.62</v>
      </c>
      <c r="G35" s="5">
        <v>0.177</v>
      </c>
    </row>
    <row r="36" spans="1:7" ht="15.75">
      <c r="A36" s="3">
        <v>32</v>
      </c>
      <c r="B36" s="3" t="s">
        <v>39</v>
      </c>
      <c r="C36" s="4" t="s">
        <v>8</v>
      </c>
      <c r="D36" s="3">
        <v>0.4</v>
      </c>
      <c r="E36" s="5">
        <v>0.15846799999999997</v>
      </c>
      <c r="F36" s="13">
        <v>0.4163636363636363</v>
      </c>
      <c r="G36" s="5">
        <v>0.15063636363636373</v>
      </c>
    </row>
    <row r="37" spans="1:7" ht="15.75">
      <c r="A37" s="3">
        <v>33</v>
      </c>
      <c r="B37" s="3" t="s">
        <v>40</v>
      </c>
      <c r="C37" s="4" t="s">
        <v>8</v>
      </c>
      <c r="D37" s="3">
        <v>0.4</v>
      </c>
      <c r="E37" s="5">
        <v>0.07196799999999999</v>
      </c>
      <c r="F37" s="13">
        <v>0.429</v>
      </c>
      <c r="G37" s="5">
        <v>0.031</v>
      </c>
    </row>
    <row r="38" spans="1:7" ht="15.75">
      <c r="A38" s="3">
        <v>34</v>
      </c>
      <c r="B38" s="3" t="s">
        <v>41</v>
      </c>
      <c r="C38" s="4" t="s">
        <v>8</v>
      </c>
      <c r="D38" s="3">
        <v>0.4</v>
      </c>
      <c r="E38" s="5">
        <v>0.22559199999999996</v>
      </c>
      <c r="F38" s="13">
        <f>0.374+0.015</f>
        <v>0.389</v>
      </c>
      <c r="G38" s="5">
        <f>-0.014-0.015</f>
        <v>-0.028999999999999998</v>
      </c>
    </row>
    <row r="39" spans="1:7" ht="15.75">
      <c r="A39" s="3">
        <v>35</v>
      </c>
      <c r="B39" s="3" t="s">
        <v>42</v>
      </c>
      <c r="C39" s="4" t="s">
        <v>8</v>
      </c>
      <c r="D39" s="3">
        <v>0.4</v>
      </c>
      <c r="E39" s="5">
        <v>0.26365199999999994</v>
      </c>
      <c r="F39" s="13">
        <v>0.338</v>
      </c>
      <c r="G39" s="5">
        <v>0.022</v>
      </c>
    </row>
    <row r="40" spans="1:7" ht="15.75">
      <c r="A40" s="3">
        <v>36</v>
      </c>
      <c r="B40" s="3" t="s">
        <v>43</v>
      </c>
      <c r="C40" s="4" t="s">
        <v>8</v>
      </c>
      <c r="D40" s="3">
        <v>0.63</v>
      </c>
      <c r="E40" s="5">
        <v>0.271956</v>
      </c>
      <c r="F40" s="13">
        <v>0.617</v>
      </c>
      <c r="G40" s="5">
        <v>0.2</v>
      </c>
    </row>
    <row r="41" spans="1:7" ht="15.75">
      <c r="A41" s="3">
        <v>37</v>
      </c>
      <c r="B41" s="3" t="s">
        <v>44</v>
      </c>
      <c r="C41" s="4" t="s">
        <v>8</v>
      </c>
      <c r="D41" s="3">
        <v>0.63</v>
      </c>
      <c r="E41" s="5">
        <v>0.42834799999999995</v>
      </c>
      <c r="F41" s="13">
        <v>0.645</v>
      </c>
      <c r="G41" s="5">
        <v>0.072</v>
      </c>
    </row>
    <row r="42" spans="1:7" ht="15.75">
      <c r="A42" s="3">
        <v>38</v>
      </c>
      <c r="B42" s="3" t="s">
        <v>45</v>
      </c>
      <c r="C42" s="4" t="s">
        <v>8</v>
      </c>
      <c r="D42" s="3">
        <v>0.63</v>
      </c>
      <c r="E42" s="5">
        <v>0.251196</v>
      </c>
      <c r="F42" s="13">
        <v>0.623</v>
      </c>
      <c r="G42" s="5">
        <v>0.144</v>
      </c>
    </row>
    <row r="43" spans="1:7" ht="15.75">
      <c r="A43" s="3">
        <v>39</v>
      </c>
      <c r="B43" s="3" t="s">
        <v>46</v>
      </c>
      <c r="C43" s="4" t="s">
        <v>8</v>
      </c>
      <c r="D43" s="3">
        <v>0.25</v>
      </c>
      <c r="E43" s="5">
        <v>0.07819599999999999</v>
      </c>
      <c r="F43" s="13">
        <f>0.28+0.02+0.005+0.005+0.005+0.005+0.005+0.007+0.003</f>
        <v>0.3350000000000001</v>
      </c>
      <c r="G43" s="5">
        <f>0.005-0.02-0.005-0.005-0.005-0.005-0.005-0.007-0.003</f>
        <v>-0.05</v>
      </c>
    </row>
    <row r="44" spans="1:7" ht="15.75">
      <c r="A44" s="3">
        <v>40</v>
      </c>
      <c r="B44" s="3" t="s">
        <v>47</v>
      </c>
      <c r="C44" s="4" t="s">
        <v>8</v>
      </c>
      <c r="D44" s="3">
        <v>0.63</v>
      </c>
      <c r="E44" s="5">
        <v>0.130788</v>
      </c>
      <c r="F44" s="13">
        <v>0.673</v>
      </c>
      <c r="G44" s="5">
        <v>0.064</v>
      </c>
    </row>
    <row r="45" spans="1:7" ht="15.75">
      <c r="A45" s="3">
        <v>41</v>
      </c>
      <c r="B45" s="3" t="s">
        <v>48</v>
      </c>
      <c r="C45" s="4" t="s">
        <v>8</v>
      </c>
      <c r="D45" s="3">
        <v>0.63</v>
      </c>
      <c r="E45" s="5">
        <v>0.10310799999999999</v>
      </c>
      <c r="F45" s="13">
        <f>0.799+0.003+0.005+0.005</f>
        <v>0.812</v>
      </c>
      <c r="G45" s="5">
        <f>-0.174-0.003-0.005-0.005</f>
        <v>-0.187</v>
      </c>
    </row>
    <row r="46" spans="1:7" ht="15.75">
      <c r="A46" s="7">
        <v>42</v>
      </c>
      <c r="B46" s="7" t="s">
        <v>49</v>
      </c>
      <c r="C46" s="10" t="s">
        <v>8</v>
      </c>
      <c r="D46" s="7">
        <v>0.04</v>
      </c>
      <c r="E46" s="11">
        <v>0</v>
      </c>
      <c r="F46" s="14">
        <v>0.079</v>
      </c>
      <c r="G46" s="11">
        <v>-0.039</v>
      </c>
    </row>
    <row r="47" spans="1:7" ht="15.75">
      <c r="A47" s="7">
        <v>43</v>
      </c>
      <c r="B47" s="7" t="s">
        <v>50</v>
      </c>
      <c r="C47" s="10" t="s">
        <v>8</v>
      </c>
      <c r="D47" s="7">
        <v>0.4</v>
      </c>
      <c r="E47" s="11">
        <v>0</v>
      </c>
      <c r="F47" s="14">
        <v>0.18181818181818182</v>
      </c>
      <c r="G47" s="11">
        <v>0.17818181818181822</v>
      </c>
    </row>
    <row r="48" spans="1:7" ht="15.75">
      <c r="A48" s="18" t="s">
        <v>51</v>
      </c>
      <c r="B48" s="19"/>
      <c r="C48" s="19"/>
      <c r="D48" s="19"/>
      <c r="E48" s="19"/>
      <c r="F48" s="19"/>
      <c r="G48" s="20"/>
    </row>
    <row r="49" spans="1:7" ht="15.75">
      <c r="A49" s="7">
        <v>44</v>
      </c>
      <c r="B49" s="7" t="s">
        <v>52</v>
      </c>
      <c r="C49" s="8" t="s">
        <v>8</v>
      </c>
      <c r="D49" s="7">
        <v>0.4</v>
      </c>
      <c r="E49" s="9">
        <v>0.09341999999999999</v>
      </c>
      <c r="F49" s="15">
        <f>0.515+0.005+0.07</f>
        <v>0.5900000000000001</v>
      </c>
      <c r="G49" s="9">
        <f>-0.1-0.005-0.007</f>
        <v>-0.11200000000000002</v>
      </c>
    </row>
    <row r="50" spans="1:7" ht="15.75">
      <c r="A50" s="7">
        <v>45</v>
      </c>
      <c r="B50" s="7" t="s">
        <v>53</v>
      </c>
      <c r="C50" s="8" t="s">
        <v>8</v>
      </c>
      <c r="D50" s="7">
        <v>0.16</v>
      </c>
      <c r="E50" s="9">
        <v>0.09480399999999999</v>
      </c>
      <c r="F50" s="15">
        <f>0.23+0.029+0.007+0.029+0.007+0.007</f>
        <v>0.30900000000000005</v>
      </c>
      <c r="G50" s="9">
        <f>-0.087-0.029-0.007-0.029-0.007-0.007</f>
        <v>-0.166</v>
      </c>
    </row>
    <row r="51" spans="1:7" ht="15.75">
      <c r="A51" s="7">
        <v>46</v>
      </c>
      <c r="B51" s="7" t="s">
        <v>54</v>
      </c>
      <c r="C51" s="8" t="s">
        <v>8</v>
      </c>
      <c r="D51" s="7">
        <v>0.16</v>
      </c>
      <c r="E51" s="9">
        <v>0.07888799999999999</v>
      </c>
      <c r="F51" s="15">
        <f>0.271+0.015+0.015+0.015+0.015+0.03</f>
        <v>0.3610000000000001</v>
      </c>
      <c r="G51" s="9">
        <f>-0.131-0.015-0.015-0.015-0.015-0.03</f>
        <v>-0.22100000000000006</v>
      </c>
    </row>
    <row r="52" spans="1:7" ht="15.75">
      <c r="A52" s="7">
        <v>47</v>
      </c>
      <c r="B52" s="7" t="s">
        <v>55</v>
      </c>
      <c r="C52" s="8" t="s">
        <v>8</v>
      </c>
      <c r="D52" s="7">
        <v>0.25</v>
      </c>
      <c r="E52" s="9">
        <v>0.047055999999999994</v>
      </c>
      <c r="F52" s="15">
        <v>0.138</v>
      </c>
      <c r="G52" s="9">
        <v>0.087</v>
      </c>
    </row>
    <row r="53" spans="1:7" ht="15.75">
      <c r="A53" s="7">
        <v>48</v>
      </c>
      <c r="B53" s="7" t="s">
        <v>56</v>
      </c>
      <c r="C53" s="8" t="s">
        <v>8</v>
      </c>
      <c r="D53" s="7">
        <v>0.4</v>
      </c>
      <c r="E53" s="9">
        <v>0.17853599999999997</v>
      </c>
      <c r="F53" s="15">
        <f>0.29+0.03+0.007+0.015</f>
        <v>0.34199999999999997</v>
      </c>
      <c r="G53" s="9">
        <f>0.07-0.03-0.007-0.015</f>
        <v>0.01800000000000001</v>
      </c>
    </row>
    <row r="54" spans="1:7" ht="15.75">
      <c r="A54" s="7">
        <v>49</v>
      </c>
      <c r="B54" s="7" t="s">
        <v>57</v>
      </c>
      <c r="C54" s="8" t="s">
        <v>8</v>
      </c>
      <c r="D54" s="7">
        <v>0.25</v>
      </c>
      <c r="E54" s="9">
        <v>0.026987999999999998</v>
      </c>
      <c r="F54" s="15">
        <v>0.108</v>
      </c>
      <c r="G54" s="9">
        <v>0.117</v>
      </c>
    </row>
    <row r="55" spans="1:7" ht="15.75">
      <c r="A55" s="7">
        <v>50</v>
      </c>
      <c r="B55" s="7" t="s">
        <v>58</v>
      </c>
      <c r="C55" s="8" t="s">
        <v>8</v>
      </c>
      <c r="D55" s="7">
        <v>0.4</v>
      </c>
      <c r="E55" s="9">
        <v>0.08027199999999998</v>
      </c>
      <c r="F55" s="15">
        <f>0.221+0.009</f>
        <v>0.23</v>
      </c>
      <c r="G55" s="9">
        <f>0.126-0.009</f>
        <v>0.117</v>
      </c>
    </row>
    <row r="56" spans="1:7" ht="15.75">
      <c r="A56" s="7">
        <v>51</v>
      </c>
      <c r="B56" s="7" t="s">
        <v>59</v>
      </c>
      <c r="C56" s="8" t="s">
        <v>8</v>
      </c>
      <c r="D56" s="7">
        <v>0.25</v>
      </c>
      <c r="E56" s="9">
        <v>0.09134399999999998</v>
      </c>
      <c r="F56" s="15">
        <f>0.296+0.007+0.007+0.018+0.007</f>
        <v>0.335</v>
      </c>
      <c r="G56" s="9">
        <f>-0.079-0.007-0.007-0.018-0.007</f>
        <v>-0.11800000000000002</v>
      </c>
    </row>
    <row r="57" spans="1:7" ht="15.75">
      <c r="A57" s="7">
        <v>52</v>
      </c>
      <c r="B57" s="7" t="s">
        <v>60</v>
      </c>
      <c r="C57" s="8" t="s">
        <v>8</v>
      </c>
      <c r="D57" s="7">
        <v>0.16</v>
      </c>
      <c r="E57" s="9">
        <v>0.0865</v>
      </c>
      <c r="F57" s="15">
        <f>0.103+0.007+0.007+0.015+0.015</f>
        <v>0.14700000000000002</v>
      </c>
      <c r="G57" s="9">
        <f>0.011-0.007-0.007-0.015-0.015</f>
        <v>-0.033</v>
      </c>
    </row>
    <row r="58" spans="1:7" ht="15.75">
      <c r="A58" s="7">
        <v>53</v>
      </c>
      <c r="B58" s="7" t="s">
        <v>61</v>
      </c>
      <c r="C58" s="8" t="s">
        <v>8</v>
      </c>
      <c r="D58" s="7">
        <v>0.16</v>
      </c>
      <c r="E58" s="9">
        <v>0.08165599999999999</v>
      </c>
      <c r="F58" s="15">
        <f>0.155+0.015+0.015+0.007</f>
        <v>0.192</v>
      </c>
      <c r="G58" s="9">
        <f>-0.011-0.015-0.015-0.007</f>
        <v>-0.047999999999999994</v>
      </c>
    </row>
    <row r="59" spans="1:7" ht="15.75">
      <c r="A59" s="7">
        <v>54</v>
      </c>
      <c r="B59" s="7" t="s">
        <v>62</v>
      </c>
      <c r="C59" s="8" t="s">
        <v>8</v>
      </c>
      <c r="D59" s="7">
        <v>0.1</v>
      </c>
      <c r="E59" s="9">
        <v>0.08027199999999998</v>
      </c>
      <c r="F59" s="15">
        <f>0.233+0.015+0.03+0.015+0.045</f>
        <v>0.338</v>
      </c>
      <c r="G59" s="9">
        <f>-0.152-0.015-0.03-0.015-0.045</f>
        <v>-0.25699999999999995</v>
      </c>
    </row>
    <row r="60" spans="1:7" ht="15.75">
      <c r="A60" s="7">
        <v>55</v>
      </c>
      <c r="B60" s="7" t="s">
        <v>63</v>
      </c>
      <c r="C60" s="8" t="s">
        <v>8</v>
      </c>
      <c r="D60" s="7">
        <v>0.16</v>
      </c>
      <c r="E60" s="9">
        <v>0.059511999999999995</v>
      </c>
      <c r="F60" s="15">
        <f>0.309+0.015+0.015+0.021</f>
        <v>0.36000000000000004</v>
      </c>
      <c r="G60" s="9">
        <f>-0.183-0.015-0.015-0.021</f>
        <v>-0.234</v>
      </c>
    </row>
    <row r="61" spans="1:7" ht="15.75">
      <c r="A61" s="18" t="s">
        <v>64</v>
      </c>
      <c r="B61" s="19"/>
      <c r="C61" s="19"/>
      <c r="D61" s="19"/>
      <c r="E61" s="19"/>
      <c r="F61" s="19"/>
      <c r="G61" s="20"/>
    </row>
    <row r="62" spans="1:7" ht="15.75">
      <c r="A62" s="3">
        <v>56</v>
      </c>
      <c r="B62" s="3" t="s">
        <v>65</v>
      </c>
      <c r="C62" s="4" t="s">
        <v>8</v>
      </c>
      <c r="D62" s="3">
        <v>0.4</v>
      </c>
      <c r="E62" s="5">
        <v>0.11625599999999998</v>
      </c>
      <c r="F62" s="13">
        <v>0.375</v>
      </c>
      <c r="G62" s="5">
        <v>0.123</v>
      </c>
    </row>
    <row r="63" spans="1:7" ht="15.75">
      <c r="A63" s="3">
        <v>57</v>
      </c>
      <c r="B63" s="3" t="s">
        <v>282</v>
      </c>
      <c r="C63" s="4" t="s">
        <v>8</v>
      </c>
      <c r="D63" s="3">
        <v>0.16</v>
      </c>
      <c r="E63" s="5">
        <v>0.026987999999999998</v>
      </c>
      <c r="F63" s="13">
        <f>0.167+0.007+0.007</f>
        <v>0.18100000000000002</v>
      </c>
      <c r="G63" s="5">
        <f>0.057-0.007-0.007</f>
        <v>0.043000000000000003</v>
      </c>
    </row>
    <row r="64" spans="1:7" ht="15.75">
      <c r="A64" s="3">
        <v>58</v>
      </c>
      <c r="B64" s="3" t="s">
        <v>66</v>
      </c>
      <c r="C64" s="4" t="s">
        <v>8</v>
      </c>
      <c r="D64" s="3">
        <v>0.16</v>
      </c>
      <c r="E64" s="5">
        <v>0.042904</v>
      </c>
      <c r="F64" s="13">
        <f>0.245+0.021+0.007+0.015+0.015+0.014</f>
        <v>0.31700000000000006</v>
      </c>
      <c r="G64" s="5">
        <f>-0.091-0.021-0.007-0.015-0.015-0.014</f>
        <v>-0.16300000000000003</v>
      </c>
    </row>
    <row r="65" spans="1:7" ht="15.75">
      <c r="A65" s="3">
        <v>59</v>
      </c>
      <c r="B65" s="3" t="s">
        <v>67</v>
      </c>
      <c r="C65" s="4" t="s">
        <v>8</v>
      </c>
      <c r="D65" s="3">
        <v>0.25</v>
      </c>
      <c r="E65" s="5">
        <v>0.15639199999999998</v>
      </c>
      <c r="F65" s="13">
        <f>0.329+0.015+0.007+0.051+0.044+0.015+0.015+0.015</f>
        <v>0.49100000000000005</v>
      </c>
      <c r="G65" s="5">
        <f>-0.105-0.015-0.007-0.051-0.044-0.015-0.015-0.015</f>
        <v>-0.267</v>
      </c>
    </row>
    <row r="66" spans="1:7" ht="15.75">
      <c r="A66" s="3">
        <v>60</v>
      </c>
      <c r="B66" s="3" t="s">
        <v>68</v>
      </c>
      <c r="C66" s="4" t="s">
        <v>8</v>
      </c>
      <c r="D66" s="3">
        <v>0.1</v>
      </c>
      <c r="E66" s="5">
        <v>0.035292</v>
      </c>
      <c r="F66" s="13">
        <f>0.184+0.022</f>
        <v>0.206</v>
      </c>
      <c r="G66" s="5">
        <f>-0.038-0.022</f>
        <v>-0.06</v>
      </c>
    </row>
    <row r="67" spans="1:7" ht="15.75">
      <c r="A67" s="3">
        <v>61</v>
      </c>
      <c r="B67" s="3" t="s">
        <v>69</v>
      </c>
      <c r="C67" s="4" t="s">
        <v>8</v>
      </c>
      <c r="D67" s="3">
        <v>0.16</v>
      </c>
      <c r="E67" s="5">
        <v>0.05881999999999999</v>
      </c>
      <c r="F67" s="13">
        <f>0.168+0.007+0.015+0.03+0.045+0.015</f>
        <v>0.28</v>
      </c>
      <c r="G67" s="5">
        <f>0.004-0.007-0.015-0.03-0.045-0.015</f>
        <v>-0.108</v>
      </c>
    </row>
    <row r="68" spans="1:7" ht="15.75">
      <c r="A68" s="3">
        <v>62</v>
      </c>
      <c r="B68" s="3" t="s">
        <v>70</v>
      </c>
      <c r="C68" s="4" t="s">
        <v>8</v>
      </c>
      <c r="D68" s="3">
        <v>0.16</v>
      </c>
      <c r="E68" s="5">
        <v>0.08234799999999999</v>
      </c>
      <c r="F68" s="13">
        <f>0.171+0.014</f>
        <v>0.18500000000000003</v>
      </c>
      <c r="G68" s="5">
        <f>-0.027-0.014</f>
        <v>-0.041</v>
      </c>
    </row>
    <row r="69" spans="1:7" ht="15.75">
      <c r="A69" s="3">
        <v>63</v>
      </c>
      <c r="B69" s="3" t="s">
        <v>71</v>
      </c>
      <c r="C69" s="4" t="s">
        <v>8</v>
      </c>
      <c r="D69" s="3">
        <v>0.32</v>
      </c>
      <c r="E69" s="5">
        <v>0.11348799999999998</v>
      </c>
      <c r="F69" s="13">
        <f>0.327+0.015+0.015</f>
        <v>0.35700000000000004</v>
      </c>
      <c r="G69" s="5">
        <f>0.017-0.015-0.015</f>
        <v>-0.012999999999999998</v>
      </c>
    </row>
    <row r="70" spans="1:7" ht="15.75">
      <c r="A70" s="3">
        <v>64</v>
      </c>
      <c r="B70" s="3" t="s">
        <v>72</v>
      </c>
      <c r="C70" s="4" t="s">
        <v>8</v>
      </c>
      <c r="D70" s="3">
        <v>0.25</v>
      </c>
      <c r="E70" s="5">
        <v>0.075774</v>
      </c>
      <c r="F70" s="13">
        <f>0.271+0.014+0.015</f>
        <v>0.30000000000000004</v>
      </c>
      <c r="G70" s="5">
        <f>0.044-0.014-0.015</f>
        <v>0.015</v>
      </c>
    </row>
    <row r="71" spans="1:7" ht="15.75">
      <c r="A71" s="3">
        <v>65</v>
      </c>
      <c r="B71" s="3" t="s">
        <v>73</v>
      </c>
      <c r="C71" s="4" t="s">
        <v>8</v>
      </c>
      <c r="D71" s="3">
        <v>0.1</v>
      </c>
      <c r="E71" s="5">
        <v>0.05812799999999999</v>
      </c>
      <c r="F71" s="13">
        <f>0.135+0.022+0.025+0.015</f>
        <v>0.197</v>
      </c>
      <c r="G71" s="5">
        <f>0.004-0.022-0.025-0.015</f>
        <v>-0.057999999999999996</v>
      </c>
    </row>
    <row r="72" spans="1:7" ht="15.75">
      <c r="A72" s="3">
        <v>66</v>
      </c>
      <c r="B72" s="3" t="s">
        <v>74</v>
      </c>
      <c r="C72" s="4" t="s">
        <v>8</v>
      </c>
      <c r="D72" s="3">
        <v>0.25</v>
      </c>
      <c r="E72" s="5">
        <v>0.06919999999999998</v>
      </c>
      <c r="F72" s="13">
        <v>0.236</v>
      </c>
      <c r="G72" s="5">
        <v>0.08</v>
      </c>
    </row>
    <row r="73" spans="1:7" ht="15.75">
      <c r="A73" s="3">
        <v>67</v>
      </c>
      <c r="B73" s="3" t="s">
        <v>75</v>
      </c>
      <c r="C73" s="4" t="s">
        <v>8</v>
      </c>
      <c r="D73" s="3">
        <v>0.063</v>
      </c>
      <c r="E73" s="5">
        <v>0.008303999999999999</v>
      </c>
      <c r="F73" s="13">
        <f>0.064+0.007+0.007</f>
        <v>0.07800000000000001</v>
      </c>
      <c r="G73" s="5">
        <f>0.028-0.007-0.007</f>
        <v>0.014000000000000002</v>
      </c>
    </row>
    <row r="74" spans="1:7" ht="15.75">
      <c r="A74" s="3">
        <v>68</v>
      </c>
      <c r="B74" s="3" t="s">
        <v>281</v>
      </c>
      <c r="C74" s="4" t="s">
        <v>8</v>
      </c>
      <c r="D74" s="3">
        <v>0.16</v>
      </c>
      <c r="E74" s="5">
        <v>0.09272799999999999</v>
      </c>
      <c r="F74" s="13">
        <f>0.174+0.015+0.022</f>
        <v>0.211</v>
      </c>
      <c r="G74" s="5">
        <f>0.013-0.015-0.022</f>
        <v>-0.024</v>
      </c>
    </row>
    <row r="75" spans="1:7" ht="15.75">
      <c r="A75" s="3">
        <v>69</v>
      </c>
      <c r="B75" s="3" t="s">
        <v>76</v>
      </c>
      <c r="C75" s="4" t="s">
        <v>8</v>
      </c>
      <c r="D75" s="3">
        <v>0.16</v>
      </c>
      <c r="E75" s="5">
        <v>0.04013599999999999</v>
      </c>
      <c r="F75" s="13">
        <v>0.13</v>
      </c>
      <c r="G75" s="5">
        <v>0.10926315789473685</v>
      </c>
    </row>
    <row r="76" spans="1:7" ht="15.75">
      <c r="A76" s="3">
        <v>70</v>
      </c>
      <c r="B76" s="3" t="s">
        <v>77</v>
      </c>
      <c r="C76" s="4" t="s">
        <v>8</v>
      </c>
      <c r="D76" s="3">
        <v>0.25</v>
      </c>
      <c r="E76" s="5">
        <v>0.031139999999999994</v>
      </c>
      <c r="F76" s="13">
        <f>0.206+0.007+0.015+0.007</f>
        <v>0.235</v>
      </c>
      <c r="G76" s="5">
        <f>0.139-0.007-0.015-0.007</f>
        <v>0.11</v>
      </c>
    </row>
    <row r="77" spans="1:7" ht="15.75">
      <c r="A77" s="3">
        <v>71</v>
      </c>
      <c r="B77" s="3" t="s">
        <v>78</v>
      </c>
      <c r="C77" s="4" t="s">
        <v>8</v>
      </c>
      <c r="D77" s="3">
        <v>0.4</v>
      </c>
      <c r="E77" s="5">
        <v>0.035292</v>
      </c>
      <c r="F77" s="13">
        <f>0.34+0.075+0.75+0.3</f>
        <v>1.465</v>
      </c>
      <c r="G77" s="5">
        <f>0.212-0.075-0.75-0.3</f>
        <v>-0.913</v>
      </c>
    </row>
    <row r="78" spans="1:7" ht="15.75">
      <c r="A78" s="3">
        <v>72</v>
      </c>
      <c r="B78" s="3" t="s">
        <v>79</v>
      </c>
      <c r="C78" s="4" t="s">
        <v>8</v>
      </c>
      <c r="D78" s="3">
        <v>0.063</v>
      </c>
      <c r="E78" s="5">
        <v>0.03944399999999999</v>
      </c>
      <c r="F78" s="13">
        <v>0.044</v>
      </c>
      <c r="G78" s="5">
        <v>0.032489473684210526</v>
      </c>
    </row>
    <row r="79" spans="1:7" ht="15.75">
      <c r="A79" s="3">
        <v>73</v>
      </c>
      <c r="B79" s="3" t="s">
        <v>283</v>
      </c>
      <c r="C79" s="4" t="s">
        <v>8</v>
      </c>
      <c r="D79" s="3">
        <v>0.1</v>
      </c>
      <c r="E79" s="5">
        <v>0.016607999999999998</v>
      </c>
      <c r="F79" s="13">
        <v>0.164</v>
      </c>
      <c r="G79" s="5">
        <v>-0.02</v>
      </c>
    </row>
    <row r="80" spans="1:7" ht="15.75">
      <c r="A80" s="3">
        <v>74</v>
      </c>
      <c r="B80" s="3" t="s">
        <v>80</v>
      </c>
      <c r="C80" s="4" t="s">
        <v>8</v>
      </c>
      <c r="D80" s="3">
        <v>0.4</v>
      </c>
      <c r="E80" s="5">
        <v>0.022143999999999997</v>
      </c>
      <c r="F80" s="13">
        <v>0.31</v>
      </c>
      <c r="G80" s="5">
        <v>0.24736842105263163</v>
      </c>
    </row>
    <row r="81" spans="1:7" ht="15.75">
      <c r="A81" s="3">
        <v>75</v>
      </c>
      <c r="B81" s="3" t="s">
        <v>81</v>
      </c>
      <c r="C81" s="4" t="s">
        <v>8</v>
      </c>
      <c r="D81" s="3">
        <v>0.315</v>
      </c>
      <c r="E81" s="5">
        <v>0</v>
      </c>
      <c r="F81" s="13">
        <f>0.339+0.055+0.015</f>
        <v>0.40900000000000003</v>
      </c>
      <c r="G81" s="5">
        <f>0.046-0.055-0.015</f>
        <v>-0.024</v>
      </c>
    </row>
    <row r="82" spans="1:7" ht="15.75">
      <c r="A82" s="3">
        <v>76</v>
      </c>
      <c r="B82" s="3" t="s">
        <v>82</v>
      </c>
      <c r="C82" s="4" t="s">
        <v>8</v>
      </c>
      <c r="D82" s="3">
        <v>0.16</v>
      </c>
      <c r="E82" s="5">
        <v>0.05051599999999999</v>
      </c>
      <c r="F82" s="13">
        <f>0.103+0.007+0.015+0.007</f>
        <v>0.132</v>
      </c>
      <c r="G82" s="5">
        <f>0.0608421052631579-0.007-0.015-0.007</f>
        <v>0.0318421052631579</v>
      </c>
    </row>
    <row r="83" spans="1:7" ht="15.75">
      <c r="A83" s="3">
        <v>77</v>
      </c>
      <c r="B83" s="3" t="s">
        <v>83</v>
      </c>
      <c r="C83" s="4" t="s">
        <v>8</v>
      </c>
      <c r="D83" s="3">
        <v>0.4</v>
      </c>
      <c r="E83" s="5">
        <v>0.04844</v>
      </c>
      <c r="F83" s="13">
        <v>0.249</v>
      </c>
      <c r="G83" s="5">
        <v>0.3110526315789474</v>
      </c>
    </row>
    <row r="84" spans="1:7" ht="15.75">
      <c r="A84" s="3">
        <v>78</v>
      </c>
      <c r="B84" s="3" t="s">
        <v>84</v>
      </c>
      <c r="C84" s="4" t="s">
        <v>8</v>
      </c>
      <c r="D84" s="3">
        <v>0.1</v>
      </c>
      <c r="E84" s="5">
        <v>0.029755999999999998</v>
      </c>
      <c r="F84" s="13">
        <f>0.148+0.007+0.022</f>
        <v>0.177</v>
      </c>
      <c r="G84" s="5">
        <f>0.021-0.007-0.022</f>
        <v>-0.007999999999999997</v>
      </c>
    </row>
    <row r="85" spans="1:7" ht="15.75">
      <c r="A85" s="3">
        <v>79</v>
      </c>
      <c r="B85" s="3" t="s">
        <v>85</v>
      </c>
      <c r="C85" s="4" t="s">
        <v>8</v>
      </c>
      <c r="D85" s="3">
        <v>0.25</v>
      </c>
      <c r="E85" s="5">
        <v>0.004497999999999999</v>
      </c>
      <c r="F85" s="13">
        <v>0.22</v>
      </c>
      <c r="G85" s="5">
        <v>0.084</v>
      </c>
    </row>
    <row r="86" spans="1:7" ht="15.75">
      <c r="A86" s="3">
        <v>80</v>
      </c>
      <c r="B86" s="3" t="s">
        <v>86</v>
      </c>
      <c r="C86" s="4" t="s">
        <v>8</v>
      </c>
      <c r="D86" s="3">
        <v>0.4</v>
      </c>
      <c r="E86" s="5">
        <v>0.02422</v>
      </c>
      <c r="F86" s="13">
        <f>0.049-0.005</f>
        <v>0.044000000000000004</v>
      </c>
      <c r="G86" s="5">
        <f>0.311-0.005</f>
        <v>0.306</v>
      </c>
    </row>
    <row r="87" spans="1:7" ht="15.75">
      <c r="A87" s="18" t="s">
        <v>87</v>
      </c>
      <c r="B87" s="19"/>
      <c r="C87" s="19"/>
      <c r="D87" s="19"/>
      <c r="E87" s="19"/>
      <c r="F87" s="19"/>
      <c r="G87" s="20"/>
    </row>
    <row r="88" spans="1:7" ht="15.75">
      <c r="A88" s="3">
        <v>81</v>
      </c>
      <c r="B88" s="3" t="s">
        <v>88</v>
      </c>
      <c r="C88" s="4" t="s">
        <v>8</v>
      </c>
      <c r="D88" s="3">
        <v>0.25</v>
      </c>
      <c r="E88" s="5">
        <v>0.22005599999999997</v>
      </c>
      <c r="F88" s="13">
        <f>0.24-0.007+0.087</f>
        <v>0.31999999999999995</v>
      </c>
      <c r="G88" s="5">
        <f>-0.015-0.007-0.087</f>
        <v>-0.10899999999999999</v>
      </c>
    </row>
    <row r="89" spans="1:7" ht="15.75">
      <c r="A89" s="3">
        <v>82</v>
      </c>
      <c r="B89" s="3" t="s">
        <v>89</v>
      </c>
      <c r="C89" s="4" t="s">
        <v>8</v>
      </c>
      <c r="D89" s="3">
        <v>0.25</v>
      </c>
      <c r="E89" s="5">
        <v>0.043595999999999996</v>
      </c>
      <c r="F89" s="13">
        <v>0.208</v>
      </c>
      <c r="G89" s="5">
        <v>0.002</v>
      </c>
    </row>
    <row r="90" spans="1:7" ht="15.75">
      <c r="A90" s="3">
        <v>83</v>
      </c>
      <c r="B90" s="3" t="s">
        <v>90</v>
      </c>
      <c r="C90" s="4" t="s">
        <v>8</v>
      </c>
      <c r="D90" s="3">
        <v>0.25</v>
      </c>
      <c r="E90" s="5">
        <v>0.023527999999999997</v>
      </c>
      <c r="F90" s="13">
        <f>0.143+0.015</f>
        <v>0.15799999999999997</v>
      </c>
      <c r="G90" s="5">
        <f>0.071-0.015</f>
        <v>0.055999999999999994</v>
      </c>
    </row>
    <row r="91" spans="1:7" ht="15.75">
      <c r="A91" s="3">
        <v>84</v>
      </c>
      <c r="B91" s="3" t="s">
        <v>91</v>
      </c>
      <c r="C91" s="4" t="s">
        <v>8</v>
      </c>
      <c r="D91" s="3">
        <v>0.25</v>
      </c>
      <c r="E91" s="5">
        <v>0.11833199999999998</v>
      </c>
      <c r="F91" s="13">
        <f>0.253+0.015</f>
        <v>0.268</v>
      </c>
      <c r="G91" s="5">
        <f>-0.062-0.015</f>
        <v>-0.077</v>
      </c>
    </row>
    <row r="92" spans="1:7" ht="15.75">
      <c r="A92" s="3">
        <v>85</v>
      </c>
      <c r="B92" s="3" t="s">
        <v>92</v>
      </c>
      <c r="C92" s="4" t="s">
        <v>8</v>
      </c>
      <c r="D92" s="3">
        <v>0.1</v>
      </c>
      <c r="E92" s="5">
        <v>0.043595999999999996</v>
      </c>
      <c r="F92" s="13">
        <f>0.192+0.015+0.007+0.007</f>
        <v>0.22100000000000003</v>
      </c>
      <c r="G92" s="5">
        <f>-0.106-0.015-0.007-0.007</f>
        <v>-0.135</v>
      </c>
    </row>
    <row r="93" spans="1:7" ht="15.75">
      <c r="A93" s="3">
        <v>86</v>
      </c>
      <c r="B93" s="3" t="s">
        <v>93</v>
      </c>
      <c r="C93" s="4" t="s">
        <v>8</v>
      </c>
      <c r="D93" s="3">
        <v>0.25</v>
      </c>
      <c r="E93" s="5">
        <v>0.07819599999999999</v>
      </c>
      <c r="F93" s="13">
        <f>0.334+0.015</f>
        <v>0.34900000000000003</v>
      </c>
      <c r="G93" s="5">
        <f>-0.137-0.015</f>
        <v>-0.15200000000000002</v>
      </c>
    </row>
    <row r="94" spans="1:7" ht="15.75">
      <c r="A94" s="3">
        <v>87</v>
      </c>
      <c r="B94" s="3" t="s">
        <v>94</v>
      </c>
      <c r="C94" s="4" t="s">
        <v>8</v>
      </c>
      <c r="D94" s="3">
        <v>0.16</v>
      </c>
      <c r="E94" s="5">
        <v>0.053975999999999996</v>
      </c>
      <c r="F94" s="13">
        <f>0.183+0.007+0.007</f>
        <v>0.197</v>
      </c>
      <c r="G94" s="5">
        <f>0.01-0.007-0.007</f>
        <v>-0.004</v>
      </c>
    </row>
    <row r="95" spans="1:7" ht="15.75">
      <c r="A95" s="3">
        <v>88</v>
      </c>
      <c r="B95" s="3" t="s">
        <v>95</v>
      </c>
      <c r="C95" s="4" t="s">
        <v>8</v>
      </c>
      <c r="D95" s="3">
        <v>0.16</v>
      </c>
      <c r="E95" s="5">
        <v>0.09203599999999999</v>
      </c>
      <c r="F95" s="13">
        <f>0.2+0.014+0.019+0.007+0.037+0.022+0.007</f>
        <v>0.30600000000000005</v>
      </c>
      <c r="G95" s="5">
        <f>-0.067-0.014-0.019-0.007-0.037-0.022-0.007</f>
        <v>-0.17300000000000001</v>
      </c>
    </row>
    <row r="96" spans="1:7" ht="15.75">
      <c r="A96" s="3">
        <v>89</v>
      </c>
      <c r="B96" s="3" t="s">
        <v>96</v>
      </c>
      <c r="C96" s="4" t="s">
        <v>8</v>
      </c>
      <c r="D96" s="3">
        <v>0.1</v>
      </c>
      <c r="E96" s="5">
        <v>0.015916</v>
      </c>
      <c r="F96" s="13">
        <f>0.26+0.015+0.015+0.022</f>
        <v>0.31200000000000006</v>
      </c>
      <c r="G96" s="5">
        <f>-0.152-0.015-0.015-0.022</f>
        <v>-0.204</v>
      </c>
    </row>
    <row r="97" spans="1:7" ht="15.75">
      <c r="A97" s="3">
        <v>90</v>
      </c>
      <c r="B97" s="3" t="s">
        <v>97</v>
      </c>
      <c r="C97" s="4" t="s">
        <v>8</v>
      </c>
      <c r="D97" s="3">
        <v>0.16</v>
      </c>
      <c r="E97" s="5">
        <v>0.040827999999999996</v>
      </c>
      <c r="F97" s="13">
        <f>0.227+0.007+0.015+0.015+0.007+0.007</f>
        <v>0.278</v>
      </c>
      <c r="G97" s="5">
        <f>-0.073-0.007-0.015-0.015-0.007-0.007</f>
        <v>-0.12400000000000001</v>
      </c>
    </row>
    <row r="98" spans="1:7" ht="15.75">
      <c r="A98" s="3">
        <v>91</v>
      </c>
      <c r="B98" s="3" t="s">
        <v>98</v>
      </c>
      <c r="C98" s="4" t="s">
        <v>8</v>
      </c>
      <c r="D98" s="3">
        <v>0.25</v>
      </c>
      <c r="E98" s="5">
        <v>0.10379999999999999</v>
      </c>
      <c r="F98" s="13">
        <v>0.182</v>
      </c>
      <c r="G98" s="5">
        <v>0.043</v>
      </c>
    </row>
    <row r="99" spans="1:7" ht="15.75">
      <c r="A99" s="3">
        <v>92</v>
      </c>
      <c r="B99" s="3" t="s">
        <v>99</v>
      </c>
      <c r="C99" s="4" t="s">
        <v>8</v>
      </c>
      <c r="D99" s="3">
        <v>0.25</v>
      </c>
      <c r="E99" s="5">
        <v>0.08442399999999999</v>
      </c>
      <c r="F99" s="13">
        <v>0.258</v>
      </c>
      <c r="G99" s="5">
        <v>-0.033</v>
      </c>
    </row>
    <row r="100" spans="1:7" ht="15.75">
      <c r="A100" s="3">
        <v>93</v>
      </c>
      <c r="B100" s="3" t="s">
        <v>100</v>
      </c>
      <c r="C100" s="4" t="s">
        <v>8</v>
      </c>
      <c r="D100" s="3">
        <v>0.25</v>
      </c>
      <c r="E100" s="5">
        <v>0.057435999999999994</v>
      </c>
      <c r="F100" s="13">
        <f>0.231+0.007</f>
        <v>0.23800000000000002</v>
      </c>
      <c r="G100" s="5">
        <f>0.078-0.007</f>
        <v>0.071</v>
      </c>
    </row>
    <row r="101" spans="1:7" ht="15.75">
      <c r="A101" s="3">
        <v>94</v>
      </c>
      <c r="B101" s="3" t="s">
        <v>101</v>
      </c>
      <c r="C101" s="4" t="s">
        <v>8</v>
      </c>
      <c r="D101" s="3">
        <v>0.16</v>
      </c>
      <c r="E101" s="5">
        <v>0.021452</v>
      </c>
      <c r="F101" s="13">
        <f>0.155+0.005+0.003+0.01</f>
        <v>0.17300000000000001</v>
      </c>
      <c r="G101" s="5">
        <f>0.032-0.005-0.003-0.01</f>
        <v>0.014</v>
      </c>
    </row>
    <row r="102" spans="1:7" ht="15.75">
      <c r="A102" s="3">
        <v>95</v>
      </c>
      <c r="B102" s="3" t="s">
        <v>102</v>
      </c>
      <c r="C102" s="4" t="s">
        <v>8</v>
      </c>
      <c r="D102" s="3">
        <v>0.16</v>
      </c>
      <c r="E102" s="5">
        <v>0.043595999999999996</v>
      </c>
      <c r="F102" s="13">
        <f>0.184+0.015+0.015+0.03</f>
        <v>0.24400000000000002</v>
      </c>
      <c r="G102" s="5">
        <f>-0.032-0.015-0.015-0.03</f>
        <v>-0.092</v>
      </c>
    </row>
    <row r="103" spans="1:7" ht="15.75">
      <c r="A103" s="3">
        <v>96</v>
      </c>
      <c r="B103" s="3" t="s">
        <v>103</v>
      </c>
      <c r="C103" s="4" t="s">
        <v>8</v>
      </c>
      <c r="D103" s="3">
        <v>0.1</v>
      </c>
      <c r="E103" s="5">
        <v>0.014531999999999998</v>
      </c>
      <c r="F103" s="13">
        <v>0.166</v>
      </c>
      <c r="G103" s="5">
        <v>-0.076</v>
      </c>
    </row>
    <row r="104" spans="1:7" ht="15.75">
      <c r="A104" s="3">
        <v>97</v>
      </c>
      <c r="B104" s="3" t="s">
        <v>104</v>
      </c>
      <c r="C104" s="4" t="s">
        <v>8</v>
      </c>
      <c r="D104" s="3">
        <v>0.4</v>
      </c>
      <c r="E104" s="5">
        <v>0.06297199999999999</v>
      </c>
      <c r="F104" s="13">
        <v>0.295</v>
      </c>
      <c r="G104" s="5">
        <v>0.10527452745274529</v>
      </c>
    </row>
    <row r="105" spans="1:7" ht="15.75">
      <c r="A105" s="3">
        <v>98</v>
      </c>
      <c r="B105" s="3" t="s">
        <v>105</v>
      </c>
      <c r="C105" s="4" t="s">
        <v>8</v>
      </c>
      <c r="D105" s="3">
        <v>0.1</v>
      </c>
      <c r="E105" s="5">
        <v>0.022835999999999995</v>
      </c>
      <c r="F105" s="13">
        <v>0.21</v>
      </c>
      <c r="G105" s="5">
        <v>-0.045</v>
      </c>
    </row>
    <row r="106" spans="1:7" ht="15.75">
      <c r="A106" s="3">
        <v>99</v>
      </c>
      <c r="B106" s="3" t="s">
        <v>106</v>
      </c>
      <c r="C106" s="4" t="s">
        <v>8</v>
      </c>
      <c r="D106" s="3">
        <v>0.25</v>
      </c>
      <c r="E106" s="5">
        <v>0.12179199999999998</v>
      </c>
      <c r="F106" s="13">
        <v>0.184</v>
      </c>
      <c r="G106" s="5">
        <v>0.0613636363636364</v>
      </c>
    </row>
    <row r="107" spans="1:7" ht="15.75">
      <c r="A107" s="3">
        <v>100</v>
      </c>
      <c r="B107" s="3" t="s">
        <v>107</v>
      </c>
      <c r="C107" s="4" t="s">
        <v>8</v>
      </c>
      <c r="D107" s="3">
        <v>0.1</v>
      </c>
      <c r="E107" s="5">
        <v>0.03487679999999999</v>
      </c>
      <c r="F107" s="13">
        <f>0.16+0.03+0.037+0.186+0.018+0.048</f>
        <v>0.47900000000000004</v>
      </c>
      <c r="G107" s="5">
        <f>-0.076-0.03-0.037-0.186-0.018-0.048</f>
        <v>-0.39499999999999996</v>
      </c>
    </row>
    <row r="108" spans="1:7" ht="15.75">
      <c r="A108" s="3">
        <v>101</v>
      </c>
      <c r="B108" s="3" t="s">
        <v>108</v>
      </c>
      <c r="C108" s="4" t="s">
        <v>8</v>
      </c>
      <c r="D108" s="3">
        <v>0.4</v>
      </c>
      <c r="E108" s="5">
        <v>0.19445199999999999</v>
      </c>
      <c r="F108" s="13">
        <f>0.766+0.025+0.013+0.045+0.01</f>
        <v>0.8590000000000001</v>
      </c>
      <c r="G108" s="5">
        <f>-0.311-0.025-0.013-0.045-0.01</f>
        <v>-0.404</v>
      </c>
    </row>
    <row r="109" spans="1:7" ht="15.75">
      <c r="A109" s="3">
        <v>102</v>
      </c>
      <c r="B109" s="3" t="s">
        <v>109</v>
      </c>
      <c r="C109" s="4" t="s">
        <v>8</v>
      </c>
      <c r="D109" s="3">
        <v>0.16</v>
      </c>
      <c r="E109" s="5">
        <v>0.09134399999999998</v>
      </c>
      <c r="F109" s="13">
        <f>0.246+0.022+0.015+0.015+0.015+0.015</f>
        <v>0.32800000000000007</v>
      </c>
      <c r="G109" s="5">
        <f>-0.087-0.022-0.015-0.015-0.015-0.015</f>
        <v>-0.16899999999999998</v>
      </c>
    </row>
    <row r="110" spans="1:7" ht="15.75">
      <c r="A110" s="3">
        <v>103</v>
      </c>
      <c r="B110" s="3" t="s">
        <v>110</v>
      </c>
      <c r="C110" s="4" t="s">
        <v>8</v>
      </c>
      <c r="D110" s="3">
        <v>0.1</v>
      </c>
      <c r="E110" s="5">
        <v>0.040827999999999996</v>
      </c>
      <c r="F110" s="13">
        <f>0.235+0.015+0.007</f>
        <v>0.257</v>
      </c>
      <c r="G110" s="5">
        <f>-0.087-0.015-0.007</f>
        <v>-0.109</v>
      </c>
    </row>
    <row r="111" spans="1:7" ht="15.75">
      <c r="A111" s="3">
        <v>104</v>
      </c>
      <c r="B111" s="3" t="s">
        <v>111</v>
      </c>
      <c r="C111" s="4" t="s">
        <v>8</v>
      </c>
      <c r="D111" s="3">
        <v>0.1</v>
      </c>
      <c r="E111" s="5">
        <v>0.035292</v>
      </c>
      <c r="F111" s="13">
        <f>0.149+0.007+0.007+0.007+0.007+0.015</f>
        <v>0.192</v>
      </c>
      <c r="G111" s="5">
        <f>-0.006-0.007-0.007-0.007-0.007-0.015</f>
        <v>-0.049</v>
      </c>
    </row>
    <row r="112" spans="1:7" ht="15.75">
      <c r="A112" s="3">
        <v>105</v>
      </c>
      <c r="B112" s="3" t="s">
        <v>112</v>
      </c>
      <c r="C112" s="4" t="s">
        <v>8</v>
      </c>
      <c r="D112" s="3">
        <v>0.1</v>
      </c>
      <c r="E112" s="5">
        <v>0.028371999999999994</v>
      </c>
      <c r="F112" s="13">
        <f>0.185+0.015</f>
        <v>0.2</v>
      </c>
      <c r="G112" s="5">
        <f>-0.043-0.015</f>
        <v>-0.057999999999999996</v>
      </c>
    </row>
    <row r="113" spans="1:7" ht="15.75">
      <c r="A113" s="3">
        <v>106</v>
      </c>
      <c r="B113" s="3" t="s">
        <v>113</v>
      </c>
      <c r="C113" s="4" t="s">
        <v>8</v>
      </c>
      <c r="D113" s="3">
        <v>0.25</v>
      </c>
      <c r="E113" s="5">
        <v>0.0865</v>
      </c>
      <c r="F113" s="13">
        <v>0.303</v>
      </c>
      <c r="G113" s="5">
        <v>-0.078</v>
      </c>
    </row>
    <row r="114" spans="1:7" ht="15.75">
      <c r="A114" s="3">
        <v>107</v>
      </c>
      <c r="B114" s="3" t="s">
        <v>114</v>
      </c>
      <c r="C114" s="4" t="s">
        <v>8</v>
      </c>
      <c r="D114" s="3">
        <v>0.1</v>
      </c>
      <c r="E114" s="5">
        <v>0.07127599999999999</v>
      </c>
      <c r="F114" s="13">
        <f>0.246+0.015+0.03+0.045+0.007</f>
        <v>0.343</v>
      </c>
      <c r="G114" s="5">
        <f>-0.179-0.015-0.03-0.045-0.007</f>
        <v>-0.276</v>
      </c>
    </row>
    <row r="115" spans="1:7" ht="15.75">
      <c r="A115" s="3">
        <v>108</v>
      </c>
      <c r="B115" s="3" t="s">
        <v>115</v>
      </c>
      <c r="C115" s="4" t="s">
        <v>8</v>
      </c>
      <c r="D115" s="3">
        <v>0.063</v>
      </c>
      <c r="E115" s="5">
        <v>0.037368</v>
      </c>
      <c r="F115" s="13">
        <v>0.102</v>
      </c>
      <c r="G115" s="5">
        <v>-0.045</v>
      </c>
    </row>
    <row r="116" spans="1:7" ht="15.75">
      <c r="A116" s="3">
        <v>109</v>
      </c>
      <c r="B116" s="3" t="s">
        <v>116</v>
      </c>
      <c r="C116" s="4" t="s">
        <v>8</v>
      </c>
      <c r="D116" s="3">
        <v>0.16</v>
      </c>
      <c r="E116" s="5">
        <v>0.05812799999999999</v>
      </c>
      <c r="F116" s="13">
        <f>0.266+0.015+0.015</f>
        <v>0.29600000000000004</v>
      </c>
      <c r="G116" s="5">
        <f>-0.107-0.015-0.015</f>
        <v>-0.137</v>
      </c>
    </row>
    <row r="117" spans="1:7" ht="15.75">
      <c r="A117" s="3">
        <v>110</v>
      </c>
      <c r="B117" s="3" t="s">
        <v>117</v>
      </c>
      <c r="C117" s="4" t="s">
        <v>8</v>
      </c>
      <c r="D117" s="3">
        <v>0.1</v>
      </c>
      <c r="E117" s="5">
        <v>0.022835999999999995</v>
      </c>
      <c r="F117" s="13">
        <f>0.115+0.015+0.01+0.01</f>
        <v>0.15000000000000002</v>
      </c>
      <c r="G117" s="5">
        <f>0.005-0.015-0.01-0.01</f>
        <v>-0.03</v>
      </c>
    </row>
    <row r="118" spans="1:7" ht="15.75">
      <c r="A118" s="3">
        <v>111</v>
      </c>
      <c r="B118" s="3" t="s">
        <v>118</v>
      </c>
      <c r="C118" s="4" t="s">
        <v>8</v>
      </c>
      <c r="D118" s="3">
        <v>0.25</v>
      </c>
      <c r="E118" s="5">
        <v>0.029063999999999996</v>
      </c>
      <c r="F118" s="13">
        <f>0.258+0.007+0.007</f>
        <v>0.272</v>
      </c>
      <c r="G118" s="5">
        <f>0.069-0.007-0.007</f>
        <v>0.05500000000000001</v>
      </c>
    </row>
    <row r="119" spans="1:7" ht="15.75">
      <c r="A119" s="3">
        <v>112</v>
      </c>
      <c r="B119" s="3" t="s">
        <v>119</v>
      </c>
      <c r="C119" s="4" t="s">
        <v>8</v>
      </c>
      <c r="D119" s="3">
        <v>0.063</v>
      </c>
      <c r="E119" s="5">
        <v>0.017299999999999996</v>
      </c>
      <c r="F119" s="13">
        <f>0.087+0.03+0.03</f>
        <v>0.147</v>
      </c>
      <c r="G119" s="5">
        <f>-0.027-0.03-0.03</f>
        <v>-0.087</v>
      </c>
    </row>
    <row r="120" spans="1:7" ht="15.75">
      <c r="A120" s="3">
        <v>113</v>
      </c>
      <c r="B120" s="3" t="s">
        <v>120</v>
      </c>
      <c r="C120" s="4" t="s">
        <v>8</v>
      </c>
      <c r="D120" s="3">
        <v>0.25</v>
      </c>
      <c r="E120" s="5">
        <v>0.06158799999999999</v>
      </c>
      <c r="F120" s="13">
        <v>0.19</v>
      </c>
      <c r="G120" s="5">
        <v>0.1240909090909091</v>
      </c>
    </row>
    <row r="121" spans="1:7" ht="15.75">
      <c r="A121" s="3">
        <v>114</v>
      </c>
      <c r="B121" s="3" t="s">
        <v>121</v>
      </c>
      <c r="C121" s="4" t="s">
        <v>8</v>
      </c>
      <c r="D121" s="3">
        <v>0.16</v>
      </c>
      <c r="E121" s="5">
        <v>0.011071999999999999</v>
      </c>
      <c r="F121" s="13">
        <f>0.137+0.015+0.03+0.015+0.015</f>
        <v>0.21200000000000002</v>
      </c>
      <c r="G121" s="5">
        <f>-0.0023-0.015-0.03-0.015-0.015</f>
        <v>-0.0773</v>
      </c>
    </row>
    <row r="122" spans="1:7" ht="15.75">
      <c r="A122" s="3">
        <v>115</v>
      </c>
      <c r="B122" s="3" t="s">
        <v>122</v>
      </c>
      <c r="C122" s="4" t="s">
        <v>8</v>
      </c>
      <c r="D122" s="3">
        <v>0.25</v>
      </c>
      <c r="E122" s="5">
        <v>0.065048</v>
      </c>
      <c r="F122" s="13">
        <f>0.299+0.015+0.03+0.022</f>
        <v>0.366</v>
      </c>
      <c r="G122" s="5">
        <f>-0.074-0.015-0.03-0.022</f>
        <v>-0.141</v>
      </c>
    </row>
    <row r="123" spans="1:7" ht="15.75">
      <c r="A123" s="3">
        <v>116</v>
      </c>
      <c r="B123" s="3" t="s">
        <v>123</v>
      </c>
      <c r="C123" s="4" t="s">
        <v>8</v>
      </c>
      <c r="D123" s="3">
        <v>0.16</v>
      </c>
      <c r="E123" s="5">
        <v>0.011071999999999999</v>
      </c>
      <c r="F123" s="13">
        <f>0.203+0.01+0.03+0.03+0.015+0.022</f>
        <v>0.31000000000000005</v>
      </c>
      <c r="G123" s="5">
        <f>-0.056-0.01-0.03-0.03-0.015-0.022</f>
        <v>-0.163</v>
      </c>
    </row>
    <row r="124" spans="1:7" ht="15.75">
      <c r="A124" s="3">
        <v>117</v>
      </c>
      <c r="B124" s="3" t="s">
        <v>124</v>
      </c>
      <c r="C124" s="4" t="s">
        <v>8</v>
      </c>
      <c r="D124" s="3">
        <v>0.16</v>
      </c>
      <c r="E124" s="5">
        <v>0.023527999999999997</v>
      </c>
      <c r="F124" s="13">
        <f>0.265+0.015+0.015</f>
        <v>0.29500000000000004</v>
      </c>
      <c r="G124" s="5">
        <f>-0.085-0.015-0.015</f>
        <v>-0.115</v>
      </c>
    </row>
    <row r="125" spans="1:7" ht="15.75">
      <c r="A125" s="3">
        <v>118</v>
      </c>
      <c r="B125" s="3" t="s">
        <v>125</v>
      </c>
      <c r="C125" s="4" t="s">
        <v>8</v>
      </c>
      <c r="D125" s="3">
        <v>0.25</v>
      </c>
      <c r="E125" s="5">
        <v>0.03806</v>
      </c>
      <c r="F125" s="13">
        <f>0.327+0.015+0.03+0.027+0.015+0.015</f>
        <v>0.42900000000000005</v>
      </c>
      <c r="G125" s="5">
        <f>-0.135-0.015-0.03-0.027-0.015-0.015</f>
        <v>-0.23700000000000004</v>
      </c>
    </row>
    <row r="126" spans="1:7" ht="15.75">
      <c r="A126" s="3">
        <v>119</v>
      </c>
      <c r="B126" s="3" t="s">
        <v>126</v>
      </c>
      <c r="C126" s="4" t="s">
        <v>8</v>
      </c>
      <c r="D126" s="3">
        <v>0.16</v>
      </c>
      <c r="E126" s="5">
        <v>0.051899999999999995</v>
      </c>
      <c r="F126" s="13">
        <f>0.29+0.03+0.003+0.025+0.005</f>
        <v>0.353</v>
      </c>
      <c r="G126" s="5">
        <f>-0.109-0.03-0.003-0.025-0.005</f>
        <v>-0.17200000000000001</v>
      </c>
    </row>
    <row r="127" spans="1:7" ht="15.75">
      <c r="A127" s="3">
        <v>120</v>
      </c>
      <c r="B127" s="3" t="s">
        <v>127</v>
      </c>
      <c r="C127" s="4" t="s">
        <v>8</v>
      </c>
      <c r="D127" s="3">
        <v>0.16</v>
      </c>
      <c r="E127" s="5">
        <v>0.049131999999999995</v>
      </c>
      <c r="F127" s="13">
        <v>0.14</v>
      </c>
      <c r="G127" s="5">
        <v>0.004</v>
      </c>
    </row>
    <row r="128" spans="1:7" ht="15.75">
      <c r="A128" s="3">
        <v>121</v>
      </c>
      <c r="B128" s="3" t="s">
        <v>128</v>
      </c>
      <c r="C128" s="4" t="s">
        <v>8</v>
      </c>
      <c r="D128" s="3">
        <v>0.16</v>
      </c>
      <c r="E128" s="5">
        <v>0.023527999999999997</v>
      </c>
      <c r="F128" s="13">
        <f>0.596+0.015+0.015</f>
        <v>0.626</v>
      </c>
      <c r="G128" s="5">
        <f>-0.361-0.015-0.015</f>
        <v>-0.391</v>
      </c>
    </row>
    <row r="129" spans="1:7" ht="15.75">
      <c r="A129" s="3">
        <v>122</v>
      </c>
      <c r="B129" s="3" t="s">
        <v>129</v>
      </c>
      <c r="C129" s="4" t="s">
        <v>8</v>
      </c>
      <c r="D129" s="3">
        <v>0.4</v>
      </c>
      <c r="E129" s="5">
        <v>0.010379999999999999</v>
      </c>
      <c r="F129" s="13">
        <v>0.312</v>
      </c>
      <c r="G129" s="5">
        <v>0.048</v>
      </c>
    </row>
    <row r="130" spans="1:7" ht="15.75">
      <c r="A130" s="3">
        <v>123</v>
      </c>
      <c r="B130" s="3" t="s">
        <v>130</v>
      </c>
      <c r="C130" s="4" t="s">
        <v>8</v>
      </c>
      <c r="D130" s="3">
        <v>0.63</v>
      </c>
      <c r="E130" s="5">
        <v>0.070584</v>
      </c>
      <c r="F130" s="13">
        <f>0.398+0.054+0.197+0.015+0.015+0.03</f>
        <v>0.7090000000000001</v>
      </c>
      <c r="G130" s="5">
        <f>0.141-0.054-0.197-0.015-0.015-0.03</f>
        <v>-0.17</v>
      </c>
    </row>
    <row r="131" spans="1:7" ht="15.75">
      <c r="A131" s="3">
        <v>124</v>
      </c>
      <c r="B131" s="3" t="s">
        <v>131</v>
      </c>
      <c r="C131" s="4" t="s">
        <v>8</v>
      </c>
      <c r="D131" s="3">
        <v>0.16</v>
      </c>
      <c r="E131" s="5">
        <v>0.028371999999999994</v>
      </c>
      <c r="F131" s="13">
        <f>0.203+0.005+0.03+0.015</f>
        <v>0.253</v>
      </c>
      <c r="G131" s="5">
        <f>-0.006-0.005-0.03-0.015</f>
        <v>-0.055999999999999994</v>
      </c>
    </row>
    <row r="132" spans="1:7" ht="15.75">
      <c r="A132" s="3">
        <v>125</v>
      </c>
      <c r="B132" s="3" t="s">
        <v>132</v>
      </c>
      <c r="C132" s="4" t="s">
        <v>8</v>
      </c>
      <c r="D132" s="3">
        <v>0.16</v>
      </c>
      <c r="E132" s="5">
        <v>0</v>
      </c>
      <c r="F132" s="13">
        <v>0.0279027902790279</v>
      </c>
      <c r="G132" s="5">
        <v>0.11609720972097212</v>
      </c>
    </row>
    <row r="133" spans="1:7" ht="15.75">
      <c r="A133" s="3">
        <v>126</v>
      </c>
      <c r="B133" s="3" t="s">
        <v>133</v>
      </c>
      <c r="C133" s="4" t="s">
        <v>8</v>
      </c>
      <c r="D133" s="3">
        <v>0.4</v>
      </c>
      <c r="E133" s="5">
        <v>0.02422</v>
      </c>
      <c r="F133" s="13">
        <v>0.316</v>
      </c>
      <c r="G133" s="5">
        <v>0.31319531953195323</v>
      </c>
    </row>
    <row r="134" spans="1:7" ht="15.75">
      <c r="A134" s="3">
        <v>127</v>
      </c>
      <c r="B134" s="3" t="s">
        <v>134</v>
      </c>
      <c r="C134" s="4" t="s">
        <v>8</v>
      </c>
      <c r="D134" s="3">
        <v>0.16</v>
      </c>
      <c r="E134" s="5">
        <v>0</v>
      </c>
      <c r="F134" s="13">
        <f>0.352+0.045+0.015+0.015+0.03</f>
        <v>0.45699999999999996</v>
      </c>
      <c r="G134" s="5">
        <f>-0.206-0.045-0.015-0.015-0.03</f>
        <v>-0.31100000000000005</v>
      </c>
    </row>
    <row r="135" spans="1:7" ht="15.75">
      <c r="A135" s="18" t="s">
        <v>135</v>
      </c>
      <c r="B135" s="19"/>
      <c r="C135" s="19"/>
      <c r="D135" s="19"/>
      <c r="E135" s="19"/>
      <c r="F135" s="19"/>
      <c r="G135" s="20"/>
    </row>
    <row r="136" spans="1:7" ht="15.75">
      <c r="A136" s="3">
        <v>128</v>
      </c>
      <c r="B136" s="3" t="s">
        <v>136</v>
      </c>
      <c r="C136" s="4" t="s">
        <v>8</v>
      </c>
      <c r="D136" s="3">
        <v>0.25</v>
      </c>
      <c r="E136" s="5">
        <v>0.020759999999999997</v>
      </c>
      <c r="F136" s="13">
        <f>0.228+0.015</f>
        <v>0.243</v>
      </c>
      <c r="G136" s="5">
        <f>-0.025-0.015</f>
        <v>-0.04</v>
      </c>
    </row>
    <row r="137" spans="1:7" ht="15.75">
      <c r="A137" s="3">
        <v>129</v>
      </c>
      <c r="B137" s="3" t="s">
        <v>137</v>
      </c>
      <c r="C137" s="4" t="s">
        <v>8</v>
      </c>
      <c r="D137" s="3">
        <v>0.25</v>
      </c>
      <c r="E137" s="5">
        <v>0.045187599999999994</v>
      </c>
      <c r="F137" s="13">
        <v>0.412</v>
      </c>
      <c r="G137" s="5">
        <v>-0.055</v>
      </c>
    </row>
    <row r="138" spans="1:7" ht="15.75">
      <c r="A138" s="3">
        <v>130</v>
      </c>
      <c r="B138" s="3" t="s">
        <v>138</v>
      </c>
      <c r="C138" s="4" t="s">
        <v>8</v>
      </c>
      <c r="D138" s="3">
        <v>0.25</v>
      </c>
      <c r="E138" s="5">
        <v>0.1712008</v>
      </c>
      <c r="F138" s="13">
        <v>0.205</v>
      </c>
      <c r="G138" s="5">
        <v>0.032999999999999995</v>
      </c>
    </row>
    <row r="139" spans="1:7" ht="15.75">
      <c r="A139" s="3">
        <v>131</v>
      </c>
      <c r="B139" s="3" t="s">
        <v>139</v>
      </c>
      <c r="C139" s="4" t="s">
        <v>8</v>
      </c>
      <c r="D139" s="3">
        <v>0.4</v>
      </c>
      <c r="E139" s="5">
        <v>0.031832</v>
      </c>
      <c r="F139" s="13">
        <v>0.139</v>
      </c>
      <c r="G139" s="5">
        <v>0.238</v>
      </c>
    </row>
    <row r="140" spans="1:7" ht="15.75">
      <c r="A140" s="3">
        <v>132</v>
      </c>
      <c r="B140" s="3" t="s">
        <v>140</v>
      </c>
      <c r="C140" s="4" t="s">
        <v>8</v>
      </c>
      <c r="D140" s="3">
        <v>0.1</v>
      </c>
      <c r="E140" s="5">
        <v>0.022559199999999998</v>
      </c>
      <c r="F140" s="13">
        <v>0.13</v>
      </c>
      <c r="G140" s="5">
        <v>0.06000000000000001</v>
      </c>
    </row>
    <row r="141" spans="1:7" ht="15.75">
      <c r="A141" s="3">
        <v>133</v>
      </c>
      <c r="B141" s="3" t="s">
        <v>141</v>
      </c>
      <c r="C141" s="4" t="s">
        <v>8</v>
      </c>
      <c r="D141" s="3">
        <v>0.25</v>
      </c>
      <c r="E141" s="5">
        <v>0.0696844</v>
      </c>
      <c r="F141" s="13">
        <f>0.174+0.015+0.015</f>
        <v>0.20400000000000001</v>
      </c>
      <c r="G141" s="5">
        <f>0.068-0.015-0.015</f>
        <v>0.038000000000000006</v>
      </c>
    </row>
    <row r="142" spans="1:7" ht="15.75">
      <c r="A142" s="3">
        <v>134</v>
      </c>
      <c r="B142" s="3" t="s">
        <v>142</v>
      </c>
      <c r="C142" s="4" t="s">
        <v>8</v>
      </c>
      <c r="D142" s="3">
        <v>0.063</v>
      </c>
      <c r="E142" s="5">
        <v>0.05854319999999999</v>
      </c>
      <c r="F142" s="13">
        <f>0.072+0.015</f>
        <v>0.087</v>
      </c>
      <c r="G142" s="5">
        <f>-0.01-0.015</f>
        <v>-0.025</v>
      </c>
    </row>
    <row r="143" spans="1:7" ht="15.75">
      <c r="A143" s="3">
        <v>135</v>
      </c>
      <c r="B143" s="3" t="s">
        <v>143</v>
      </c>
      <c r="C143" s="4" t="s">
        <v>8</v>
      </c>
      <c r="D143" s="3">
        <v>0.063</v>
      </c>
      <c r="E143" s="5">
        <v>0.04615639999999999</v>
      </c>
      <c r="F143" s="13">
        <f>0.0533333333333333+0.015</f>
        <v>0.0683333333333333</v>
      </c>
      <c r="G143" s="5">
        <f>0.00336666666666667-0.015</f>
        <v>-0.011633333333333329</v>
      </c>
    </row>
    <row r="144" spans="1:7" ht="15.75">
      <c r="A144" s="3">
        <v>136</v>
      </c>
      <c r="B144" s="3" t="s">
        <v>144</v>
      </c>
      <c r="C144" s="4" t="s">
        <v>8</v>
      </c>
      <c r="D144" s="3">
        <v>0.25</v>
      </c>
      <c r="E144" s="5">
        <v>0.08968319999999999</v>
      </c>
      <c r="F144" s="13">
        <f>0.179+0.007+0.007+0.007</f>
        <v>0.2</v>
      </c>
      <c r="G144" s="5">
        <f>0.73-0.007-0.007-0.007</f>
        <v>0.709</v>
      </c>
    </row>
    <row r="145" spans="1:7" ht="15.75">
      <c r="A145" s="3">
        <v>137</v>
      </c>
      <c r="B145" s="3" t="s">
        <v>145</v>
      </c>
      <c r="C145" s="4" t="s">
        <v>8</v>
      </c>
      <c r="D145" s="3">
        <v>0.1</v>
      </c>
      <c r="E145" s="5">
        <v>0.05674399999999999</v>
      </c>
      <c r="F145" s="13">
        <f>0.129+0.03+0.015</f>
        <v>0.174</v>
      </c>
      <c r="G145" s="5">
        <f>-0.01-0.03-0.015</f>
        <v>-0.055</v>
      </c>
    </row>
    <row r="146" spans="1:7" ht="15.75">
      <c r="A146" s="3">
        <v>138</v>
      </c>
      <c r="B146" s="3" t="s">
        <v>146</v>
      </c>
      <c r="C146" s="4" t="s">
        <v>8</v>
      </c>
      <c r="D146" s="3">
        <v>0.25</v>
      </c>
      <c r="E146" s="5">
        <v>0.035292</v>
      </c>
      <c r="F146" s="13">
        <f>0.169+0.015</f>
        <v>0.184</v>
      </c>
      <c r="G146" s="5">
        <f>0.156-0.015</f>
        <v>0.14100000000000001</v>
      </c>
    </row>
    <row r="147" spans="1:7" ht="15.75">
      <c r="A147" s="3">
        <v>139</v>
      </c>
      <c r="B147" s="3" t="s">
        <v>147</v>
      </c>
      <c r="C147" s="4" t="s">
        <v>8</v>
      </c>
      <c r="D147" s="3">
        <v>0.063</v>
      </c>
      <c r="E147" s="5">
        <v>0.03307759999999999</v>
      </c>
      <c r="F147" s="13">
        <v>0.063</v>
      </c>
      <c r="G147" s="5">
        <v>0.01</v>
      </c>
    </row>
    <row r="148" spans="1:7" ht="15.75">
      <c r="A148" s="3">
        <v>140</v>
      </c>
      <c r="B148" s="3" t="s">
        <v>148</v>
      </c>
      <c r="C148" s="4" t="s">
        <v>8</v>
      </c>
      <c r="D148" s="3">
        <v>0.1</v>
      </c>
      <c r="E148" s="5">
        <v>0.026918799999999996</v>
      </c>
      <c r="F148" s="13">
        <f>0.117+0.015+0.015</f>
        <v>0.14700000000000002</v>
      </c>
      <c r="G148" s="5">
        <f>0.018-0.015-0.015</f>
        <v>-0.012</v>
      </c>
    </row>
    <row r="149" spans="1:7" ht="15.75">
      <c r="A149" s="3">
        <v>141</v>
      </c>
      <c r="B149" s="3" t="s">
        <v>149</v>
      </c>
      <c r="C149" s="4" t="s">
        <v>8</v>
      </c>
      <c r="D149" s="3">
        <v>0.063</v>
      </c>
      <c r="E149" s="5">
        <v>0.024150799999999997</v>
      </c>
      <c r="F149" s="13">
        <v>0.047</v>
      </c>
      <c r="G149" s="5">
        <v>0</v>
      </c>
    </row>
    <row r="150" spans="1:7" ht="15.75">
      <c r="A150" s="3">
        <v>142</v>
      </c>
      <c r="B150" s="3" t="s">
        <v>150</v>
      </c>
      <c r="C150" s="4" t="s">
        <v>8</v>
      </c>
      <c r="D150" s="3">
        <v>0.063</v>
      </c>
      <c r="E150" s="5">
        <v>0.031832</v>
      </c>
      <c r="F150" s="13">
        <v>0.115</v>
      </c>
      <c r="G150" s="5">
        <v>-0.039</v>
      </c>
    </row>
    <row r="151" spans="1:7" ht="15.75">
      <c r="A151" s="3">
        <v>143</v>
      </c>
      <c r="B151" s="3" t="s">
        <v>151</v>
      </c>
      <c r="C151" s="4" t="s">
        <v>8</v>
      </c>
      <c r="D151" s="3">
        <v>0.25</v>
      </c>
      <c r="E151" s="5">
        <v>0.04013599999999999</v>
      </c>
      <c r="F151" s="13">
        <f>0.329+0.075+0.045</f>
        <v>0.449</v>
      </c>
      <c r="G151" s="5">
        <f>0.161-0.075-0.045</f>
        <v>0.04100000000000001</v>
      </c>
    </row>
    <row r="152" spans="1:7" ht="15.75">
      <c r="A152" s="3">
        <v>144</v>
      </c>
      <c r="B152" s="3" t="s">
        <v>152</v>
      </c>
      <c r="C152" s="4" t="s">
        <v>8</v>
      </c>
      <c r="D152" s="3">
        <v>0.16</v>
      </c>
      <c r="E152" s="5">
        <v>0.06940759999999999</v>
      </c>
      <c r="F152" s="13">
        <f>0.196+0.015+0.015</f>
        <v>0.22600000000000003</v>
      </c>
      <c r="G152" s="5">
        <f>0.081-0.015-0.015</f>
        <v>0.051000000000000004</v>
      </c>
    </row>
    <row r="153" spans="1:7" ht="15.75">
      <c r="A153" s="3">
        <v>145</v>
      </c>
      <c r="B153" s="3" t="s">
        <v>153</v>
      </c>
      <c r="C153" s="4" t="s">
        <v>8</v>
      </c>
      <c r="D153" s="3">
        <v>0.25</v>
      </c>
      <c r="E153" s="5">
        <v>0.13161839999999997</v>
      </c>
      <c r="F153" s="13">
        <v>0.238</v>
      </c>
      <c r="G153" s="5">
        <v>0.034</v>
      </c>
    </row>
    <row r="154" spans="1:7" ht="15.75">
      <c r="A154" s="3">
        <v>146</v>
      </c>
      <c r="B154" s="3" t="s">
        <v>154</v>
      </c>
      <c r="C154" s="4" t="s">
        <v>8</v>
      </c>
      <c r="D154" s="3">
        <v>0.25</v>
      </c>
      <c r="E154" s="5">
        <v>0.07888799999999999</v>
      </c>
      <c r="F154" s="13">
        <f>0.187+0.1</f>
        <v>0.28700000000000003</v>
      </c>
      <c r="G154" s="5">
        <f>0.136-0.1</f>
        <v>0.036000000000000004</v>
      </c>
    </row>
    <row r="155" spans="1:7" ht="15.75">
      <c r="A155" s="3">
        <v>147</v>
      </c>
      <c r="B155" s="3" t="s">
        <v>155</v>
      </c>
      <c r="C155" s="4" t="s">
        <v>8</v>
      </c>
      <c r="D155" s="3">
        <v>0.16</v>
      </c>
      <c r="E155" s="5">
        <v>0.047332799999999994</v>
      </c>
      <c r="F155" s="13">
        <f>0.1445+0.035</f>
        <v>0.1795</v>
      </c>
      <c r="G155" s="5">
        <f>0.072-0.035</f>
        <v>0.03699999999999999</v>
      </c>
    </row>
    <row r="156" spans="1:7" ht="15.75">
      <c r="A156" s="3">
        <v>148</v>
      </c>
      <c r="B156" s="3" t="s">
        <v>156</v>
      </c>
      <c r="C156" s="4" t="s">
        <v>8</v>
      </c>
      <c r="D156" s="3">
        <v>0.1</v>
      </c>
      <c r="E156" s="5">
        <v>0.0383368</v>
      </c>
      <c r="F156" s="13">
        <v>0.104</v>
      </c>
      <c r="G156" s="5">
        <v>-0.024</v>
      </c>
    </row>
    <row r="157" spans="1:7" ht="15.75">
      <c r="A157" s="3">
        <v>149</v>
      </c>
      <c r="B157" s="3" t="s">
        <v>157</v>
      </c>
      <c r="C157" s="4" t="s">
        <v>8</v>
      </c>
      <c r="D157" s="3">
        <v>0.16</v>
      </c>
      <c r="E157" s="5">
        <v>0.0722448</v>
      </c>
      <c r="F157" s="13">
        <f>0.25+0.02</f>
        <v>0.27</v>
      </c>
      <c r="G157" s="5">
        <f>-0.031-0.02</f>
        <v>-0.051000000000000004</v>
      </c>
    </row>
    <row r="158" spans="1:7" ht="15.75">
      <c r="A158" s="3">
        <v>150</v>
      </c>
      <c r="B158" s="3" t="s">
        <v>158</v>
      </c>
      <c r="C158" s="4" t="s">
        <v>8</v>
      </c>
      <c r="D158" s="3">
        <v>0.1</v>
      </c>
      <c r="E158" s="5">
        <v>0.0641484</v>
      </c>
      <c r="F158" s="13">
        <v>0.093</v>
      </c>
      <c r="G158" s="5">
        <v>0</v>
      </c>
    </row>
    <row r="159" spans="1:7" ht="15.75">
      <c r="A159" s="3">
        <v>151</v>
      </c>
      <c r="B159" s="3" t="s">
        <v>159</v>
      </c>
      <c r="C159" s="4" t="s">
        <v>8</v>
      </c>
      <c r="D159" s="3">
        <v>0.1</v>
      </c>
      <c r="E159" s="5">
        <v>0.05605199999999999</v>
      </c>
      <c r="F159" s="13">
        <f>0.085+0.015</f>
        <v>0.1</v>
      </c>
      <c r="G159" s="5">
        <f>0-0.015</f>
        <v>-0.015</v>
      </c>
    </row>
    <row r="160" spans="1:7" ht="15.75">
      <c r="A160" s="3">
        <v>152</v>
      </c>
      <c r="B160" s="3" t="s">
        <v>160</v>
      </c>
      <c r="C160" s="4" t="s">
        <v>8</v>
      </c>
      <c r="D160" s="3">
        <v>0.1</v>
      </c>
      <c r="E160" s="5">
        <v>0.023735599999999996</v>
      </c>
      <c r="F160" s="13">
        <v>0.074</v>
      </c>
      <c r="G160" s="5">
        <v>0.056</v>
      </c>
    </row>
    <row r="161" spans="1:7" ht="15.75">
      <c r="A161" s="3">
        <v>153</v>
      </c>
      <c r="B161" s="3" t="s">
        <v>161</v>
      </c>
      <c r="C161" s="4" t="s">
        <v>8</v>
      </c>
      <c r="D161" s="3">
        <v>0.1</v>
      </c>
      <c r="E161" s="5">
        <v>0.04075879999999999</v>
      </c>
      <c r="F161" s="13">
        <f>0.068+0.015</f>
        <v>0.083</v>
      </c>
      <c r="G161" s="5">
        <f>-0.008-0.015</f>
        <v>-0.023</v>
      </c>
    </row>
    <row r="162" spans="1:7" ht="15.75">
      <c r="A162" s="3">
        <v>154</v>
      </c>
      <c r="B162" s="3" t="s">
        <v>162</v>
      </c>
      <c r="C162" s="4" t="s">
        <v>8</v>
      </c>
      <c r="D162" s="3">
        <v>0.1</v>
      </c>
      <c r="E162" s="5">
        <v>0.04504919999999999</v>
      </c>
      <c r="F162" s="13">
        <v>0.078</v>
      </c>
      <c r="G162" s="5">
        <v>0.022</v>
      </c>
    </row>
    <row r="163" spans="1:7" ht="15.75">
      <c r="A163" s="3">
        <v>155</v>
      </c>
      <c r="B163" s="3" t="s">
        <v>163</v>
      </c>
      <c r="C163" s="4" t="s">
        <v>8</v>
      </c>
      <c r="D163" s="3">
        <v>0.1</v>
      </c>
      <c r="E163" s="5">
        <v>0.05729759999999999</v>
      </c>
      <c r="F163" s="13">
        <f>0.063+0.015</f>
        <v>0.078</v>
      </c>
      <c r="G163" s="5">
        <f>0.028-0.015</f>
        <v>0.013000000000000001</v>
      </c>
    </row>
    <row r="164" spans="1:7" ht="15.75">
      <c r="A164" s="3">
        <v>156</v>
      </c>
      <c r="B164" s="3" t="s">
        <v>164</v>
      </c>
      <c r="C164" s="4" t="s">
        <v>8</v>
      </c>
      <c r="D164" s="3">
        <v>0.16</v>
      </c>
      <c r="E164" s="5">
        <v>0.008995999999999999</v>
      </c>
      <c r="F164" s="13">
        <v>0.149</v>
      </c>
      <c r="G164" s="5">
        <v>0.077</v>
      </c>
    </row>
    <row r="165" spans="1:7" ht="15.75">
      <c r="A165" s="3">
        <v>157</v>
      </c>
      <c r="B165" s="3" t="s">
        <v>165</v>
      </c>
      <c r="C165" s="4" t="s">
        <v>8</v>
      </c>
      <c r="D165" s="3">
        <v>0.16</v>
      </c>
      <c r="E165" s="5">
        <v>0.07501279999999999</v>
      </c>
      <c r="F165" s="13">
        <v>0.207</v>
      </c>
      <c r="G165" s="5">
        <v>0.037</v>
      </c>
    </row>
    <row r="166" spans="1:7" ht="15.75">
      <c r="A166" s="3">
        <v>158</v>
      </c>
      <c r="B166" s="3" t="s">
        <v>166</v>
      </c>
      <c r="C166" s="4" t="s">
        <v>8</v>
      </c>
      <c r="D166" s="3">
        <v>0.04</v>
      </c>
      <c r="E166" s="5">
        <v>0.005674399999999999</v>
      </c>
      <c r="F166" s="13">
        <v>0.024666666666666667</v>
      </c>
      <c r="G166" s="5">
        <v>0.011333333333333338</v>
      </c>
    </row>
    <row r="167" spans="1:7" ht="15.75">
      <c r="A167" s="3">
        <v>159</v>
      </c>
      <c r="B167" s="3" t="s">
        <v>167</v>
      </c>
      <c r="C167" s="4" t="s">
        <v>8</v>
      </c>
      <c r="D167" s="3">
        <v>0.1</v>
      </c>
      <c r="E167" s="5">
        <v>0.038129199999999995</v>
      </c>
      <c r="F167" s="13">
        <v>0.066</v>
      </c>
      <c r="G167" s="5">
        <v>0.04</v>
      </c>
    </row>
    <row r="168" spans="1:7" ht="15.75">
      <c r="A168" s="3">
        <v>160</v>
      </c>
      <c r="B168" s="3" t="s">
        <v>168</v>
      </c>
      <c r="C168" s="4" t="s">
        <v>8</v>
      </c>
      <c r="D168" s="3">
        <v>0.1</v>
      </c>
      <c r="E168" s="5">
        <v>0.025119599999999995</v>
      </c>
      <c r="F168" s="13">
        <f>0.065+0.015</f>
        <v>0.08</v>
      </c>
      <c r="G168" s="5">
        <f>0.04-0.015</f>
        <v>0.025</v>
      </c>
    </row>
    <row r="169" spans="1:7" ht="15.75">
      <c r="A169" s="3">
        <v>161</v>
      </c>
      <c r="B169" s="3" t="s">
        <v>169</v>
      </c>
      <c r="C169" s="4" t="s">
        <v>8</v>
      </c>
      <c r="D169" s="3">
        <v>0.16</v>
      </c>
      <c r="E169" s="5">
        <v>0.053975999999999996</v>
      </c>
      <c r="F169" s="13">
        <v>0.139</v>
      </c>
      <c r="G169" s="5">
        <v>0.067</v>
      </c>
    </row>
    <row r="170" spans="1:7" ht="15.75">
      <c r="A170" s="3">
        <v>162</v>
      </c>
      <c r="B170" s="3" t="s">
        <v>170</v>
      </c>
      <c r="C170" s="4" t="s">
        <v>8</v>
      </c>
      <c r="D170" s="3">
        <v>0.1</v>
      </c>
      <c r="E170" s="5">
        <v>0.04774799999999999</v>
      </c>
      <c r="F170" s="13">
        <v>0.077</v>
      </c>
      <c r="G170" s="5">
        <v>0.027</v>
      </c>
    </row>
    <row r="171" spans="1:7" ht="15.75">
      <c r="A171" s="3">
        <v>163</v>
      </c>
      <c r="B171" s="3" t="s">
        <v>171</v>
      </c>
      <c r="C171" s="4" t="s">
        <v>8</v>
      </c>
      <c r="D171" s="3">
        <v>0.063</v>
      </c>
      <c r="E171" s="5">
        <v>0.0240124</v>
      </c>
      <c r="F171" s="13">
        <v>0.077</v>
      </c>
      <c r="G171" s="5">
        <v>0.005</v>
      </c>
    </row>
    <row r="172" spans="1:7" ht="15.75">
      <c r="A172" s="3">
        <v>164</v>
      </c>
      <c r="B172" s="3" t="s">
        <v>172</v>
      </c>
      <c r="C172" s="4" t="s">
        <v>8</v>
      </c>
      <c r="D172" s="3">
        <v>0.1</v>
      </c>
      <c r="E172" s="5">
        <v>0.021936399999999998</v>
      </c>
      <c r="F172" s="13">
        <v>0.085</v>
      </c>
      <c r="G172" s="5">
        <v>-0.01</v>
      </c>
    </row>
    <row r="173" spans="1:7" ht="15.75">
      <c r="A173" s="3">
        <v>165</v>
      </c>
      <c r="B173" s="3" t="s">
        <v>266</v>
      </c>
      <c r="C173" s="4" t="s">
        <v>8</v>
      </c>
      <c r="D173" s="3">
        <v>0.4</v>
      </c>
      <c r="E173" s="5">
        <v>0.047332799999999994</v>
      </c>
      <c r="F173" s="13">
        <v>0.09</v>
      </c>
      <c r="G173" s="5">
        <v>0.27</v>
      </c>
    </row>
    <row r="174" spans="1:7" ht="15.75">
      <c r="A174" s="3">
        <v>166</v>
      </c>
      <c r="B174" s="3" t="s">
        <v>173</v>
      </c>
      <c r="C174" s="4" t="s">
        <v>8</v>
      </c>
      <c r="D174" s="3">
        <v>0.4</v>
      </c>
      <c r="E174" s="5">
        <v>0.04781719999999999</v>
      </c>
      <c r="F174" s="13">
        <f>0.2+0.11+0.11</f>
        <v>0.42</v>
      </c>
      <c r="G174" s="5">
        <f>0.26-0.11-0.11</f>
        <v>0.04000000000000002</v>
      </c>
    </row>
    <row r="175" spans="1:7" ht="15.75">
      <c r="A175" s="18" t="s">
        <v>174</v>
      </c>
      <c r="B175" s="19"/>
      <c r="C175" s="19"/>
      <c r="D175" s="19"/>
      <c r="E175" s="19"/>
      <c r="F175" s="19"/>
      <c r="G175" s="20"/>
    </row>
    <row r="176" spans="1:7" ht="15.75">
      <c r="A176" s="3">
        <v>167</v>
      </c>
      <c r="B176" s="3" t="s">
        <v>175</v>
      </c>
      <c r="C176" s="4" t="s">
        <v>8</v>
      </c>
      <c r="D176" s="3">
        <v>0.1</v>
      </c>
      <c r="E176" s="5">
        <v>0.03459999999999999</v>
      </c>
      <c r="F176" s="13">
        <v>0.078</v>
      </c>
      <c r="G176" s="5">
        <v>0.05000000000000001</v>
      </c>
    </row>
    <row r="177" spans="1:7" ht="15.75">
      <c r="A177" s="3">
        <v>168</v>
      </c>
      <c r="B177" s="3" t="s">
        <v>176</v>
      </c>
      <c r="C177" s="4" t="s">
        <v>8</v>
      </c>
      <c r="D177" s="3">
        <v>0.1</v>
      </c>
      <c r="E177" s="5">
        <v>0.04774799999999999</v>
      </c>
      <c r="F177" s="13">
        <v>0.108</v>
      </c>
      <c r="G177" s="5">
        <v>0.002</v>
      </c>
    </row>
    <row r="178" spans="1:7" ht="15.75">
      <c r="A178" s="3">
        <v>169</v>
      </c>
      <c r="B178" s="3" t="s">
        <v>177</v>
      </c>
      <c r="C178" s="4" t="s">
        <v>8</v>
      </c>
      <c r="D178" s="3">
        <v>0.1</v>
      </c>
      <c r="E178" s="5">
        <v>0.03667599999999999</v>
      </c>
      <c r="F178" s="13">
        <v>0.084</v>
      </c>
      <c r="G178" s="5">
        <v>0.022</v>
      </c>
    </row>
    <row r="179" spans="1:7" ht="15.75">
      <c r="A179" s="3">
        <v>170</v>
      </c>
      <c r="B179" s="3" t="s">
        <v>178</v>
      </c>
      <c r="C179" s="4" t="s">
        <v>8</v>
      </c>
      <c r="D179" s="3">
        <v>0.16</v>
      </c>
      <c r="E179" s="5">
        <v>0.07127599999999999</v>
      </c>
      <c r="F179" s="13">
        <f>0.124+0.03</f>
        <v>0.154</v>
      </c>
      <c r="G179" s="5">
        <f>0.076-0.03</f>
        <v>0.046</v>
      </c>
    </row>
    <row r="180" spans="1:7" ht="15.75">
      <c r="A180" s="3">
        <v>171</v>
      </c>
      <c r="B180" s="3" t="s">
        <v>179</v>
      </c>
      <c r="C180" s="4" t="s">
        <v>8</v>
      </c>
      <c r="D180" s="3">
        <v>0.1</v>
      </c>
      <c r="E180" s="5">
        <v>0.074736</v>
      </c>
      <c r="F180" s="13">
        <v>0.167</v>
      </c>
      <c r="G180" s="5">
        <v>-0.077</v>
      </c>
    </row>
    <row r="181" spans="1:7" ht="15.75">
      <c r="A181" s="3">
        <v>172</v>
      </c>
      <c r="B181" s="3" t="s">
        <v>180</v>
      </c>
      <c r="C181" s="4" t="s">
        <v>8</v>
      </c>
      <c r="D181" s="3">
        <v>0.025</v>
      </c>
      <c r="E181" s="5">
        <v>0.012455999999999998</v>
      </c>
      <c r="F181" s="13">
        <v>0.018</v>
      </c>
      <c r="G181" s="5">
        <v>0.010961538461538464</v>
      </c>
    </row>
    <row r="182" spans="1:7" ht="15.75">
      <c r="A182" s="3">
        <v>173</v>
      </c>
      <c r="B182" s="3" t="s">
        <v>181</v>
      </c>
      <c r="C182" s="4" t="s">
        <v>8</v>
      </c>
      <c r="D182" s="3">
        <v>0.1</v>
      </c>
      <c r="E182" s="5">
        <v>0.041519999999999994</v>
      </c>
      <c r="F182" s="13">
        <v>0.073</v>
      </c>
      <c r="G182" s="5">
        <v>0.017</v>
      </c>
    </row>
    <row r="183" spans="1:7" ht="15.75">
      <c r="A183" s="3">
        <v>174</v>
      </c>
      <c r="B183" s="3" t="s">
        <v>182</v>
      </c>
      <c r="C183" s="4" t="s">
        <v>8</v>
      </c>
      <c r="D183" s="3">
        <v>0.16</v>
      </c>
      <c r="E183" s="5">
        <v>0.04013599999999999</v>
      </c>
      <c r="F183" s="13">
        <v>0.144</v>
      </c>
      <c r="G183" s="5">
        <v>0.056</v>
      </c>
    </row>
    <row r="184" spans="1:7" ht="15.75">
      <c r="A184" s="3">
        <v>175</v>
      </c>
      <c r="B184" s="3" t="s">
        <v>183</v>
      </c>
      <c r="C184" s="4" t="s">
        <v>8</v>
      </c>
      <c r="D184" s="3">
        <v>0.1</v>
      </c>
      <c r="E184" s="5">
        <v>0.047055999999999994</v>
      </c>
      <c r="F184" s="13">
        <f>0.12+0.009</f>
        <v>0.129</v>
      </c>
      <c r="G184" s="5">
        <f>0.032-0.009</f>
        <v>0.023</v>
      </c>
    </row>
    <row r="185" spans="1:7" ht="15.75">
      <c r="A185" s="3">
        <v>176</v>
      </c>
      <c r="B185" s="3" t="s">
        <v>184</v>
      </c>
      <c r="C185" s="4" t="s">
        <v>8</v>
      </c>
      <c r="D185" s="3">
        <v>0.1</v>
      </c>
      <c r="E185" s="5">
        <v>0.020067999999999996</v>
      </c>
      <c r="F185" s="13">
        <v>0.13</v>
      </c>
      <c r="G185" s="5">
        <v>0.057</v>
      </c>
    </row>
    <row r="186" spans="1:7" ht="15.75">
      <c r="A186" s="3">
        <v>177</v>
      </c>
      <c r="B186" s="3" t="s">
        <v>185</v>
      </c>
      <c r="C186" s="4" t="s">
        <v>8</v>
      </c>
      <c r="D186" s="3">
        <v>0.25</v>
      </c>
      <c r="E186" s="5">
        <v>0.08719199999999999</v>
      </c>
      <c r="F186" s="13">
        <f>0.204+0.034+0.045+0.007+0.015+0.007</f>
        <v>0.312</v>
      </c>
      <c r="G186" s="5">
        <f>0.111-0.034-0.045-0.007-0.015-0.007</f>
        <v>0.003000000000000002</v>
      </c>
    </row>
    <row r="187" spans="1:7" ht="15.75">
      <c r="A187" s="3">
        <v>178</v>
      </c>
      <c r="B187" s="3" t="s">
        <v>186</v>
      </c>
      <c r="C187" s="4" t="s">
        <v>8</v>
      </c>
      <c r="D187" s="3">
        <v>0.4</v>
      </c>
      <c r="E187" s="5">
        <v>0.069892</v>
      </c>
      <c r="F187" s="13">
        <v>0.346</v>
      </c>
      <c r="G187" s="5">
        <v>0.214</v>
      </c>
    </row>
    <row r="188" spans="1:7" ht="15.75">
      <c r="A188" s="3">
        <v>179</v>
      </c>
      <c r="B188" s="3" t="s">
        <v>187</v>
      </c>
      <c r="C188" s="4" t="s">
        <v>8</v>
      </c>
      <c r="D188" s="3">
        <v>0.25</v>
      </c>
      <c r="E188" s="5">
        <v>0.11556399999999999</v>
      </c>
      <c r="F188" s="13">
        <f>0.279+0.011+0.015+0.015</f>
        <v>0.32000000000000006</v>
      </c>
      <c r="G188" s="5">
        <f>0.005-0.011-0.015-0.015</f>
        <v>-0.036</v>
      </c>
    </row>
    <row r="189" spans="1:7" ht="15.75">
      <c r="A189" s="3">
        <v>180</v>
      </c>
      <c r="B189" s="3" t="s">
        <v>188</v>
      </c>
      <c r="C189" s="4" t="s">
        <v>8</v>
      </c>
      <c r="D189" s="3">
        <v>0.16</v>
      </c>
      <c r="E189" s="5">
        <v>0.05881999999999999</v>
      </c>
      <c r="F189" s="13">
        <v>0.125</v>
      </c>
      <c r="G189" s="5">
        <v>0.07300000000000002</v>
      </c>
    </row>
    <row r="190" spans="1:7" ht="15.75">
      <c r="A190" s="3">
        <v>181</v>
      </c>
      <c r="B190" s="3" t="s">
        <v>189</v>
      </c>
      <c r="C190" s="4" t="s">
        <v>8</v>
      </c>
      <c r="D190" s="3">
        <v>0.16</v>
      </c>
      <c r="E190" s="5">
        <v>0.09895599999999999</v>
      </c>
      <c r="F190" s="13">
        <v>0.185</v>
      </c>
      <c r="G190" s="5">
        <v>0.009</v>
      </c>
    </row>
    <row r="191" spans="1:7" ht="15.75">
      <c r="A191" s="3">
        <v>182</v>
      </c>
      <c r="B191" s="3" t="s">
        <v>190</v>
      </c>
      <c r="C191" s="4" t="s">
        <v>8</v>
      </c>
      <c r="D191" s="3">
        <v>0.1</v>
      </c>
      <c r="E191" s="5">
        <v>0.053975999999999996</v>
      </c>
      <c r="F191" s="13">
        <f>0.07+0.015</f>
        <v>0.085</v>
      </c>
      <c r="G191" s="5">
        <f>0.04-0.015</f>
        <v>0.025</v>
      </c>
    </row>
    <row r="192" spans="1:7" ht="15.75">
      <c r="A192" s="3">
        <v>183</v>
      </c>
      <c r="B192" s="3" t="s">
        <v>191</v>
      </c>
      <c r="C192" s="4" t="s">
        <v>8</v>
      </c>
      <c r="D192" s="3">
        <v>0.16</v>
      </c>
      <c r="E192" s="5">
        <v>0.07888799999999999</v>
      </c>
      <c r="F192" s="13">
        <f>0.159+0.015+0.015</f>
        <v>0.189</v>
      </c>
      <c r="G192" s="5">
        <f>0.005-0.015-0.015</f>
        <v>-0.024999999999999998</v>
      </c>
    </row>
    <row r="193" spans="1:7" ht="15.75">
      <c r="A193" s="3">
        <v>184</v>
      </c>
      <c r="B193" s="3" t="s">
        <v>192</v>
      </c>
      <c r="C193" s="4" t="s">
        <v>8</v>
      </c>
      <c r="D193" s="3">
        <v>0.16</v>
      </c>
      <c r="E193" s="5">
        <v>0.10449199999999999</v>
      </c>
      <c r="F193" s="13">
        <f>0.179+0.015+0.015+0.015+0.015</f>
        <v>0.23900000000000005</v>
      </c>
      <c r="G193" s="5">
        <f>0-0.015-0.015-0.015-0.015</f>
        <v>-0.06</v>
      </c>
    </row>
    <row r="194" spans="1:7" ht="15.75">
      <c r="A194" s="3">
        <v>185</v>
      </c>
      <c r="B194" s="3" t="s">
        <v>193</v>
      </c>
      <c r="C194" s="4" t="s">
        <v>8</v>
      </c>
      <c r="D194" s="3">
        <v>0.25</v>
      </c>
      <c r="E194" s="5">
        <v>0.09618799999999998</v>
      </c>
      <c r="F194" s="13">
        <f>0.183+0.015+0.015</f>
        <v>0.21300000000000002</v>
      </c>
      <c r="G194" s="5">
        <f>0.019-0.015-0.015</f>
        <v>-0.011</v>
      </c>
    </row>
    <row r="195" spans="1:7" ht="15.75">
      <c r="A195" s="3">
        <v>186</v>
      </c>
      <c r="B195" s="3" t="s">
        <v>194</v>
      </c>
      <c r="C195" s="4" t="s">
        <v>8</v>
      </c>
      <c r="D195" s="3">
        <v>0.16</v>
      </c>
      <c r="E195" s="5">
        <v>0.04567199999999999</v>
      </c>
      <c r="F195" s="13">
        <v>0.167</v>
      </c>
      <c r="G195" s="5">
        <v>0.047</v>
      </c>
    </row>
    <row r="196" spans="1:7" ht="15.75">
      <c r="A196" s="3">
        <v>187</v>
      </c>
      <c r="B196" s="3" t="s">
        <v>195</v>
      </c>
      <c r="C196" s="4" t="s">
        <v>8</v>
      </c>
      <c r="D196" s="3">
        <v>0.063</v>
      </c>
      <c r="E196" s="5">
        <v>0.02422</v>
      </c>
      <c r="F196" s="13">
        <f>0.04+0.035</f>
        <v>0.07500000000000001</v>
      </c>
      <c r="G196" s="5">
        <f>0.0170846153846154-0.035</f>
        <v>-0.017915384615384604</v>
      </c>
    </row>
    <row r="197" spans="1:7" ht="15.75">
      <c r="A197" s="3">
        <v>188</v>
      </c>
      <c r="B197" s="3" t="s">
        <v>196</v>
      </c>
      <c r="C197" s="4" t="s">
        <v>8</v>
      </c>
      <c r="D197" s="3">
        <v>0.4</v>
      </c>
      <c r="E197" s="5">
        <v>0.13217199999999998</v>
      </c>
      <c r="F197" s="13">
        <v>0.295</v>
      </c>
      <c r="G197" s="5">
        <v>0.205</v>
      </c>
    </row>
    <row r="198" spans="1:7" ht="15.75">
      <c r="A198" s="3">
        <v>189</v>
      </c>
      <c r="B198" s="3" t="s">
        <v>197</v>
      </c>
      <c r="C198" s="4" t="s">
        <v>8</v>
      </c>
      <c r="D198" s="3">
        <v>0.16</v>
      </c>
      <c r="E198" s="5">
        <v>0.09895599999999999</v>
      </c>
      <c r="F198" s="13">
        <f>0.195+0.015+0.015</f>
        <v>0.22500000000000003</v>
      </c>
      <c r="G198" s="5">
        <f>-0.051-0.015-0.015</f>
        <v>-0.081</v>
      </c>
    </row>
    <row r="199" spans="1:7" ht="15.75">
      <c r="A199" s="3">
        <v>190</v>
      </c>
      <c r="B199" s="3" t="s">
        <v>198</v>
      </c>
      <c r="C199" s="4" t="s">
        <v>8</v>
      </c>
      <c r="D199" s="3">
        <v>0.25</v>
      </c>
      <c r="E199" s="5">
        <v>0.16607999999999998</v>
      </c>
      <c r="F199" s="13">
        <f>0.25+0.007+0.015</f>
        <v>0.272</v>
      </c>
      <c r="G199" s="5">
        <f>-0.033-0.007-0.015</f>
        <v>-0.055</v>
      </c>
    </row>
    <row r="200" spans="1:7" ht="15.75">
      <c r="A200" s="3">
        <v>191</v>
      </c>
      <c r="B200" s="3" t="s">
        <v>199</v>
      </c>
      <c r="C200" s="4" t="s">
        <v>8</v>
      </c>
      <c r="D200" s="3">
        <v>0.25</v>
      </c>
      <c r="E200" s="5">
        <v>0.024911999999999997</v>
      </c>
      <c r="F200" s="13">
        <v>0.146</v>
      </c>
      <c r="G200" s="5">
        <v>0.079</v>
      </c>
    </row>
    <row r="201" spans="1:7" ht="15.75">
      <c r="A201" s="3">
        <v>192</v>
      </c>
      <c r="B201" s="3" t="s">
        <v>200</v>
      </c>
      <c r="C201" s="4" t="s">
        <v>8</v>
      </c>
      <c r="D201" s="3">
        <v>0.063</v>
      </c>
      <c r="E201" s="5">
        <v>0.05881999999999999</v>
      </c>
      <c r="F201" s="13">
        <v>0.065</v>
      </c>
      <c r="G201" s="5">
        <v>-0.008300000000000002</v>
      </c>
    </row>
    <row r="202" spans="1:7" ht="15.75">
      <c r="A202" s="3">
        <v>193</v>
      </c>
      <c r="B202" s="3" t="s">
        <v>201</v>
      </c>
      <c r="C202" s="4" t="s">
        <v>8</v>
      </c>
      <c r="D202" s="3">
        <v>0.1</v>
      </c>
      <c r="E202" s="5">
        <v>0.046363999999999995</v>
      </c>
      <c r="F202" s="13">
        <v>0.09</v>
      </c>
      <c r="G202" s="5">
        <v>0</v>
      </c>
    </row>
    <row r="203" spans="1:7" ht="15.75">
      <c r="A203" s="3">
        <v>194</v>
      </c>
      <c r="B203" s="3" t="s">
        <v>202</v>
      </c>
      <c r="C203" s="4" t="s">
        <v>8</v>
      </c>
      <c r="D203" s="3">
        <v>0.1</v>
      </c>
      <c r="E203" s="5">
        <v>0.044287999999999994</v>
      </c>
      <c r="F203" s="13">
        <f>0.154+0.015</f>
        <v>0.16899999999999998</v>
      </c>
      <c r="G203" s="5">
        <f>-0.074-0.015</f>
        <v>-0.089</v>
      </c>
    </row>
    <row r="204" spans="1:7" ht="15.75">
      <c r="A204" s="3">
        <v>195</v>
      </c>
      <c r="B204" s="3" t="s">
        <v>203</v>
      </c>
      <c r="C204" s="4" t="s">
        <v>8</v>
      </c>
      <c r="D204" s="3">
        <v>0.04</v>
      </c>
      <c r="E204" s="5">
        <v>0.015916</v>
      </c>
      <c r="F204" s="13">
        <v>0.033</v>
      </c>
      <c r="G204" s="5">
        <v>0.012</v>
      </c>
    </row>
    <row r="205" spans="1:7" ht="15.75">
      <c r="A205" s="3">
        <v>196</v>
      </c>
      <c r="B205" s="3" t="s">
        <v>204</v>
      </c>
      <c r="C205" s="4" t="s">
        <v>8</v>
      </c>
      <c r="D205" s="3">
        <v>0.25</v>
      </c>
      <c r="E205" s="5">
        <v>0.09203599999999999</v>
      </c>
      <c r="F205" s="13">
        <v>0.112</v>
      </c>
      <c r="G205" s="5">
        <v>0.113</v>
      </c>
    </row>
    <row r="206" spans="1:7" ht="15.75">
      <c r="A206" s="3">
        <v>197</v>
      </c>
      <c r="B206" s="3" t="s">
        <v>205</v>
      </c>
      <c r="C206" s="4" t="s">
        <v>8</v>
      </c>
      <c r="D206" s="3">
        <v>0.025</v>
      </c>
      <c r="E206" s="5">
        <v>0.02422</v>
      </c>
      <c r="F206" s="13">
        <f>0.069+0.015</f>
        <v>0.084</v>
      </c>
      <c r="G206" s="5">
        <f>-0.047-0.015</f>
        <v>-0.062</v>
      </c>
    </row>
    <row r="207" spans="1:7" ht="15.75">
      <c r="A207" s="3">
        <v>198</v>
      </c>
      <c r="B207" s="3" t="s">
        <v>206</v>
      </c>
      <c r="C207" s="4" t="s">
        <v>8</v>
      </c>
      <c r="D207" s="3">
        <v>0.1</v>
      </c>
      <c r="E207" s="5">
        <v>0.019375999999999997</v>
      </c>
      <c r="F207" s="13">
        <v>0.077</v>
      </c>
      <c r="G207" s="5">
        <v>0.055</v>
      </c>
    </row>
    <row r="208" spans="1:7" ht="15.75">
      <c r="A208" s="3">
        <v>199</v>
      </c>
      <c r="B208" s="3" t="s">
        <v>207</v>
      </c>
      <c r="C208" s="4" t="s">
        <v>8</v>
      </c>
      <c r="D208" s="3">
        <v>0.1</v>
      </c>
      <c r="E208" s="5">
        <v>0.03806</v>
      </c>
      <c r="F208" s="13">
        <f>0.138+0.007+0.007+0.007</f>
        <v>0.15900000000000003</v>
      </c>
      <c r="G208" s="5">
        <f>0.004-0.007-0.007-0.007</f>
        <v>-0.017</v>
      </c>
    </row>
    <row r="209" spans="1:7" ht="15.75">
      <c r="A209" s="3">
        <v>200</v>
      </c>
      <c r="B209" s="3" t="s">
        <v>208</v>
      </c>
      <c r="C209" s="4" t="s">
        <v>8</v>
      </c>
      <c r="D209" s="3">
        <v>0.063</v>
      </c>
      <c r="E209" s="5">
        <v>0.023527999999999997</v>
      </c>
      <c r="F209" s="13">
        <v>0.058</v>
      </c>
      <c r="G209" s="5">
        <v>0.018</v>
      </c>
    </row>
    <row r="210" spans="1:7" ht="15.75">
      <c r="A210" s="3">
        <v>201</v>
      </c>
      <c r="B210" s="3" t="s">
        <v>209</v>
      </c>
      <c r="C210" s="4" t="s">
        <v>8</v>
      </c>
      <c r="D210" s="3">
        <v>0.1</v>
      </c>
      <c r="E210" s="5">
        <v>0.038751999999999995</v>
      </c>
      <c r="F210" s="13">
        <v>0.078</v>
      </c>
      <c r="G210" s="5">
        <v>0.01</v>
      </c>
    </row>
    <row r="211" spans="1:7" ht="15.75">
      <c r="A211" s="18" t="s">
        <v>210</v>
      </c>
      <c r="B211" s="19"/>
      <c r="C211" s="19"/>
      <c r="D211" s="19"/>
      <c r="E211" s="19"/>
      <c r="F211" s="19"/>
      <c r="G211" s="20"/>
    </row>
    <row r="212" spans="1:7" ht="15.75">
      <c r="A212" s="3">
        <v>202</v>
      </c>
      <c r="B212" s="3" t="s">
        <v>211</v>
      </c>
      <c r="C212" s="4" t="s">
        <v>8</v>
      </c>
      <c r="D212" s="3">
        <v>0.1</v>
      </c>
      <c r="E212" s="5">
        <v>0.028371999999999994</v>
      </c>
      <c r="F212" s="16">
        <v>0.069</v>
      </c>
      <c r="G212" s="5">
        <v>0.05800000000000001</v>
      </c>
    </row>
    <row r="213" spans="1:7" ht="15.75">
      <c r="A213" s="3">
        <v>203</v>
      </c>
      <c r="B213" s="3" t="s">
        <v>212</v>
      </c>
      <c r="C213" s="4" t="s">
        <v>8</v>
      </c>
      <c r="D213" s="3">
        <v>0.16</v>
      </c>
      <c r="E213" s="5">
        <v>0.10905919999999998</v>
      </c>
      <c r="F213" s="16">
        <v>0.162</v>
      </c>
      <c r="G213" s="5">
        <v>-0.025</v>
      </c>
    </row>
    <row r="214" spans="1:7" ht="15.75">
      <c r="A214" s="3">
        <v>204</v>
      </c>
      <c r="B214" s="3" t="s">
        <v>213</v>
      </c>
      <c r="C214" s="4" t="s">
        <v>8</v>
      </c>
      <c r="D214" s="3">
        <v>0.16</v>
      </c>
      <c r="E214" s="5">
        <v>0.07556639999999999</v>
      </c>
      <c r="F214" s="16">
        <f>0.2+0.015+0.015</f>
        <v>0.23000000000000004</v>
      </c>
      <c r="G214" s="5">
        <f>-0.06-0.015-0.015</f>
        <v>-0.09</v>
      </c>
    </row>
    <row r="215" spans="1:7" ht="15.75">
      <c r="A215" s="3">
        <v>205</v>
      </c>
      <c r="B215" s="3" t="s">
        <v>214</v>
      </c>
      <c r="C215" s="4" t="s">
        <v>8</v>
      </c>
      <c r="D215" s="3">
        <v>0.063</v>
      </c>
      <c r="E215" s="5">
        <v>0.04193519999999999</v>
      </c>
      <c r="F215" s="16">
        <f>0.06+0.02</f>
        <v>0.08</v>
      </c>
      <c r="G215" s="5">
        <f>-0.003-0.02</f>
        <v>-0.023</v>
      </c>
    </row>
    <row r="216" spans="1:7" ht="15.75">
      <c r="A216" s="3">
        <v>206</v>
      </c>
      <c r="B216" s="3" t="s">
        <v>215</v>
      </c>
      <c r="C216" s="4" t="s">
        <v>8</v>
      </c>
      <c r="D216" s="3">
        <v>0.1</v>
      </c>
      <c r="E216" s="5">
        <v>0.020967599999999996</v>
      </c>
      <c r="F216" s="16">
        <v>0.112</v>
      </c>
      <c r="G216" s="5">
        <v>-0.006</v>
      </c>
    </row>
    <row r="217" spans="1:7" ht="15.75">
      <c r="A217" s="3">
        <v>207</v>
      </c>
      <c r="B217" s="3" t="s">
        <v>216</v>
      </c>
      <c r="C217" s="4" t="s">
        <v>8</v>
      </c>
      <c r="D217" s="3">
        <v>0.25</v>
      </c>
      <c r="E217" s="5">
        <v>0.12850439999999996</v>
      </c>
      <c r="F217" s="16">
        <v>0.235</v>
      </c>
      <c r="G217" s="5">
        <v>0.079</v>
      </c>
    </row>
    <row r="218" spans="1:7" ht="15.75">
      <c r="A218" s="3">
        <v>208</v>
      </c>
      <c r="B218" s="3" t="s">
        <v>217</v>
      </c>
      <c r="C218" s="4" t="s">
        <v>8</v>
      </c>
      <c r="D218" s="3">
        <v>0.25</v>
      </c>
      <c r="E218" s="5">
        <v>0.11743239999999998</v>
      </c>
      <c r="F218" s="16">
        <v>0.195</v>
      </c>
      <c r="G218" s="5">
        <v>0.04</v>
      </c>
    </row>
    <row r="219" spans="1:7" ht="15.75">
      <c r="A219" s="3">
        <v>209</v>
      </c>
      <c r="B219" s="3" t="s">
        <v>218</v>
      </c>
      <c r="C219" s="4" t="s">
        <v>8</v>
      </c>
      <c r="D219" s="3">
        <v>0.25</v>
      </c>
      <c r="E219" s="5">
        <v>0.10532239999999998</v>
      </c>
      <c r="F219" s="16">
        <v>0.213</v>
      </c>
      <c r="G219" s="5">
        <v>0.045</v>
      </c>
    </row>
    <row r="220" spans="1:7" ht="15.75">
      <c r="A220" s="3">
        <v>210</v>
      </c>
      <c r="B220" s="3" t="s">
        <v>219</v>
      </c>
      <c r="C220" s="4" t="s">
        <v>8</v>
      </c>
      <c r="D220" s="3">
        <v>0.25</v>
      </c>
      <c r="E220" s="5">
        <v>0.1817192</v>
      </c>
      <c r="F220" s="16">
        <f>0.293+0.015</f>
        <v>0.308</v>
      </c>
      <c r="G220" s="5">
        <f>-0.091-0.015</f>
        <v>-0.106</v>
      </c>
    </row>
    <row r="221" spans="1:7" ht="15.75">
      <c r="A221" s="3">
        <v>211</v>
      </c>
      <c r="B221" s="3" t="s">
        <v>220</v>
      </c>
      <c r="C221" s="4" t="s">
        <v>8</v>
      </c>
      <c r="D221" s="3">
        <v>0.1</v>
      </c>
      <c r="E221" s="5">
        <v>0.039928399999999996</v>
      </c>
      <c r="F221" s="16">
        <v>0.079</v>
      </c>
      <c r="G221" s="5">
        <v>0.05000000000000001</v>
      </c>
    </row>
    <row r="222" spans="1:7" ht="15.75">
      <c r="A222" s="3">
        <v>212</v>
      </c>
      <c r="B222" s="3" t="s">
        <v>221</v>
      </c>
      <c r="C222" s="4" t="s">
        <v>8</v>
      </c>
      <c r="D222" s="3">
        <v>0.1</v>
      </c>
      <c r="E222" s="5">
        <v>0.039374799999999995</v>
      </c>
      <c r="F222" s="16">
        <v>0.062</v>
      </c>
      <c r="G222" s="5">
        <v>0.03800000000000001</v>
      </c>
    </row>
    <row r="223" spans="1:7" ht="15.75">
      <c r="A223" s="3">
        <v>213</v>
      </c>
      <c r="B223" s="3" t="s">
        <v>222</v>
      </c>
      <c r="C223" s="4" t="s">
        <v>8</v>
      </c>
      <c r="D223" s="3">
        <v>0.16</v>
      </c>
      <c r="E223" s="5">
        <v>0.030032799999999995</v>
      </c>
      <c r="F223" s="16">
        <f>0.165+0.015+0.03</f>
        <v>0.21</v>
      </c>
      <c r="G223" s="5">
        <f>0.053-0.015-0.03</f>
        <v>0.008</v>
      </c>
    </row>
    <row r="224" spans="1:7" ht="15.75">
      <c r="A224" s="3">
        <v>214</v>
      </c>
      <c r="B224" s="3" t="s">
        <v>223</v>
      </c>
      <c r="C224" s="4" t="s">
        <v>8</v>
      </c>
      <c r="D224" s="3">
        <v>0.25</v>
      </c>
      <c r="E224" s="5">
        <v>0.0476788</v>
      </c>
      <c r="F224" s="16">
        <v>0.112</v>
      </c>
      <c r="G224" s="5">
        <v>0.113</v>
      </c>
    </row>
    <row r="225" spans="1:7" ht="15.75">
      <c r="A225" s="3">
        <v>215</v>
      </c>
      <c r="B225" s="3" t="s">
        <v>224</v>
      </c>
      <c r="C225" s="4" t="s">
        <v>8</v>
      </c>
      <c r="D225" s="3">
        <v>0.16</v>
      </c>
      <c r="E225" s="5">
        <v>0.020621599999999997</v>
      </c>
      <c r="F225" s="16">
        <f>0.151+0.003</f>
        <v>0.154</v>
      </c>
      <c r="G225" s="5">
        <f>0.087-0.003</f>
        <v>0.08399999999999999</v>
      </c>
    </row>
    <row r="226" spans="1:7" ht="15.75">
      <c r="A226" s="3">
        <v>216</v>
      </c>
      <c r="B226" s="3" t="s">
        <v>225</v>
      </c>
      <c r="C226" s="4" t="s">
        <v>8</v>
      </c>
      <c r="D226" s="3">
        <v>0.1</v>
      </c>
      <c r="E226" s="5">
        <v>0.026918799999999996</v>
      </c>
      <c r="F226" s="16">
        <v>0.065</v>
      </c>
      <c r="G226" s="5">
        <v>0.045</v>
      </c>
    </row>
    <row r="227" spans="1:7" ht="15.75">
      <c r="A227" s="3">
        <v>217</v>
      </c>
      <c r="B227" s="3" t="s">
        <v>226</v>
      </c>
      <c r="C227" s="4" t="s">
        <v>8</v>
      </c>
      <c r="D227" s="3">
        <v>0.25</v>
      </c>
      <c r="E227" s="5">
        <v>0.052522799999999994</v>
      </c>
      <c r="F227" s="16">
        <v>0.179</v>
      </c>
      <c r="G227" s="5">
        <v>0.085</v>
      </c>
    </row>
    <row r="228" spans="1:7" ht="15.75">
      <c r="A228" s="3">
        <v>218</v>
      </c>
      <c r="B228" s="3" t="s">
        <v>227</v>
      </c>
      <c r="C228" s="4" t="s">
        <v>8</v>
      </c>
      <c r="D228" s="3">
        <v>0.1</v>
      </c>
      <c r="E228" s="5">
        <v>0.0343232</v>
      </c>
      <c r="F228" s="16">
        <v>0.073</v>
      </c>
      <c r="G228" s="5">
        <v>0.047</v>
      </c>
    </row>
    <row r="229" spans="1:7" ht="15.75">
      <c r="A229" s="3">
        <v>219</v>
      </c>
      <c r="B229" s="3" t="s">
        <v>228</v>
      </c>
      <c r="C229" s="4" t="s">
        <v>8</v>
      </c>
      <c r="D229" s="3">
        <v>0.25</v>
      </c>
      <c r="E229" s="5">
        <v>0.0208292</v>
      </c>
      <c r="F229" s="16">
        <v>0.181</v>
      </c>
      <c r="G229" s="5">
        <v>0.2</v>
      </c>
    </row>
    <row r="230" spans="1:7" ht="15.75">
      <c r="A230" s="3">
        <v>220</v>
      </c>
      <c r="B230" s="3" t="s">
        <v>229</v>
      </c>
      <c r="C230" s="4" t="s">
        <v>8</v>
      </c>
      <c r="D230" s="3">
        <v>0.16</v>
      </c>
      <c r="E230" s="5">
        <v>0.033492799999999996</v>
      </c>
      <c r="F230" s="16">
        <v>0.134</v>
      </c>
      <c r="G230" s="5">
        <v>0.08</v>
      </c>
    </row>
    <row r="231" spans="1:7" ht="15.75">
      <c r="A231" s="3">
        <v>221</v>
      </c>
      <c r="B231" s="3" t="s">
        <v>230</v>
      </c>
      <c r="C231" s="4" t="s">
        <v>8</v>
      </c>
      <c r="D231" s="3">
        <v>0.1</v>
      </c>
      <c r="E231" s="5">
        <v>0.03148599999999999</v>
      </c>
      <c r="F231" s="16">
        <f>0.064+0.018</f>
        <v>0.082</v>
      </c>
      <c r="G231" s="5">
        <f>0.018-0.018</f>
        <v>0</v>
      </c>
    </row>
    <row r="232" spans="1:7" ht="15.75">
      <c r="A232" s="3">
        <v>222</v>
      </c>
      <c r="B232" s="3" t="s">
        <v>231</v>
      </c>
      <c r="C232" s="4" t="s">
        <v>8</v>
      </c>
      <c r="D232" s="3">
        <v>0.063</v>
      </c>
      <c r="E232" s="5">
        <v>0.026849599999999994</v>
      </c>
      <c r="F232" s="16">
        <v>0.037</v>
      </c>
      <c r="G232" s="5">
        <v>0.019700000000000002</v>
      </c>
    </row>
    <row r="233" spans="1:7" ht="15.75">
      <c r="A233" s="3">
        <v>223</v>
      </c>
      <c r="B233" s="3" t="s">
        <v>232</v>
      </c>
      <c r="C233" s="4" t="s">
        <v>8</v>
      </c>
      <c r="D233" s="3">
        <v>0.16</v>
      </c>
      <c r="E233" s="5">
        <v>0.0385444</v>
      </c>
      <c r="F233" s="16">
        <v>0.148</v>
      </c>
      <c r="G233" s="5">
        <v>0.062</v>
      </c>
    </row>
    <row r="234" spans="1:7" ht="15.75">
      <c r="A234" s="3">
        <v>224</v>
      </c>
      <c r="B234" s="3" t="s">
        <v>233</v>
      </c>
      <c r="C234" s="4" t="s">
        <v>8</v>
      </c>
      <c r="D234" s="3">
        <v>0.25</v>
      </c>
      <c r="E234" s="5">
        <v>0.06850799999999999</v>
      </c>
      <c r="F234" s="16">
        <f>0.194+0.015</f>
        <v>0.20900000000000002</v>
      </c>
      <c r="G234" s="5">
        <f>0.1-0.015</f>
        <v>0.085</v>
      </c>
    </row>
    <row r="235" spans="1:7" ht="15.75">
      <c r="A235" s="3">
        <v>225</v>
      </c>
      <c r="B235" s="3" t="s">
        <v>234</v>
      </c>
      <c r="C235" s="4" t="s">
        <v>8</v>
      </c>
      <c r="D235" s="3">
        <v>0.1</v>
      </c>
      <c r="E235" s="5">
        <v>0.017230799999999998</v>
      </c>
      <c r="F235" s="16">
        <v>0.104</v>
      </c>
      <c r="G235" s="5">
        <v>0.07</v>
      </c>
    </row>
    <row r="236" spans="1:7" ht="15.75">
      <c r="A236" s="18" t="s">
        <v>235</v>
      </c>
      <c r="B236" s="19"/>
      <c r="C236" s="19"/>
      <c r="D236" s="19"/>
      <c r="E236" s="19"/>
      <c r="F236" s="19"/>
      <c r="G236" s="20"/>
    </row>
    <row r="237" spans="1:7" ht="15.75">
      <c r="A237" s="3">
        <v>226</v>
      </c>
      <c r="B237" s="3" t="s">
        <v>236</v>
      </c>
      <c r="C237" s="4" t="s">
        <v>8</v>
      </c>
      <c r="D237" s="3">
        <v>0.25</v>
      </c>
      <c r="E237" s="5">
        <v>0.07245239999999999</v>
      </c>
      <c r="F237" s="16">
        <f>0.149+0.007</f>
        <v>0.156</v>
      </c>
      <c r="G237" s="5">
        <f>0.084-0.007</f>
        <v>0.077</v>
      </c>
    </row>
    <row r="238" spans="1:7" ht="15.75">
      <c r="A238" s="3">
        <v>227</v>
      </c>
      <c r="B238" s="3" t="s">
        <v>237</v>
      </c>
      <c r="C238" s="4" t="s">
        <v>8</v>
      </c>
      <c r="D238" s="3">
        <v>0.4</v>
      </c>
      <c r="E238" s="5">
        <v>0.10186239999999998</v>
      </c>
      <c r="F238" s="16">
        <f>0.158+0.002</f>
        <v>0.16</v>
      </c>
      <c r="G238" s="5">
        <f>0.219-0.002</f>
        <v>0.217</v>
      </c>
    </row>
    <row r="239" spans="1:7" ht="15.75">
      <c r="A239" s="3">
        <v>228</v>
      </c>
      <c r="B239" s="3" t="s">
        <v>238</v>
      </c>
      <c r="C239" s="4" t="s">
        <v>8</v>
      </c>
      <c r="D239" s="3">
        <v>0.16</v>
      </c>
      <c r="E239" s="5">
        <v>0.041173999999999995</v>
      </c>
      <c r="F239" s="16">
        <f>0.073+0.007+0.007</f>
        <v>0.08700000000000001</v>
      </c>
      <c r="G239" s="5">
        <f>0.097-0.007-0.007</f>
        <v>0.08299999999999999</v>
      </c>
    </row>
    <row r="240" spans="1:7" ht="15.75">
      <c r="A240" s="3">
        <v>229</v>
      </c>
      <c r="B240" s="3" t="s">
        <v>239</v>
      </c>
      <c r="C240" s="4" t="s">
        <v>8</v>
      </c>
      <c r="D240" s="3">
        <v>0.63</v>
      </c>
      <c r="E240" s="5">
        <v>0.10310799999999999</v>
      </c>
      <c r="F240" s="16">
        <v>0.173</v>
      </c>
      <c r="G240" s="5">
        <v>0.391</v>
      </c>
    </row>
    <row r="241" spans="1:7" ht="15.75">
      <c r="A241" s="3">
        <v>230</v>
      </c>
      <c r="B241" s="3" t="s">
        <v>240</v>
      </c>
      <c r="C241" s="4" t="s">
        <v>8</v>
      </c>
      <c r="D241" s="3">
        <v>0.16</v>
      </c>
      <c r="E241" s="5">
        <v>0.09688</v>
      </c>
      <c r="F241" s="16">
        <v>0.11</v>
      </c>
      <c r="G241" s="5">
        <v>0.05400000000000002</v>
      </c>
    </row>
    <row r="242" spans="1:7" ht="15.75">
      <c r="A242" s="3">
        <v>231</v>
      </c>
      <c r="B242" s="3" t="s">
        <v>241</v>
      </c>
      <c r="C242" s="4" t="s">
        <v>8</v>
      </c>
      <c r="D242" s="3">
        <v>0.25</v>
      </c>
      <c r="E242" s="5">
        <v>0.02422</v>
      </c>
      <c r="F242" s="16">
        <v>0.189</v>
      </c>
      <c r="G242" s="5">
        <v>0.2</v>
      </c>
    </row>
    <row r="243" spans="1:7" ht="15.75">
      <c r="A243" s="3">
        <v>232</v>
      </c>
      <c r="B243" s="3" t="s">
        <v>242</v>
      </c>
      <c r="C243" s="4" t="s">
        <v>8</v>
      </c>
      <c r="D243" s="3">
        <v>0.16</v>
      </c>
      <c r="E243" s="5">
        <v>0.028025999999999995</v>
      </c>
      <c r="F243" s="16">
        <v>0.153</v>
      </c>
      <c r="G243" s="5">
        <v>0.081</v>
      </c>
    </row>
    <row r="244" spans="1:7" ht="15.75">
      <c r="A244" s="3">
        <v>233</v>
      </c>
      <c r="B244" s="3" t="s">
        <v>243</v>
      </c>
      <c r="C244" s="4" t="s">
        <v>8</v>
      </c>
      <c r="D244" s="3">
        <v>0.25</v>
      </c>
      <c r="E244" s="5">
        <v>0.04726359999999999</v>
      </c>
      <c r="F244" s="16">
        <v>0.101</v>
      </c>
      <c r="G244" s="5">
        <v>0.166</v>
      </c>
    </row>
    <row r="245" spans="1:7" ht="15.75">
      <c r="A245" s="3">
        <v>234</v>
      </c>
      <c r="B245" s="3" t="s">
        <v>244</v>
      </c>
      <c r="C245" s="4" t="s">
        <v>8</v>
      </c>
      <c r="D245" s="3">
        <v>0.25</v>
      </c>
      <c r="E245" s="5">
        <v>0.016469599999999997</v>
      </c>
      <c r="F245" s="16">
        <v>0.101</v>
      </c>
      <c r="G245" s="5">
        <v>0.2</v>
      </c>
    </row>
    <row r="246" spans="1:7" ht="15.75">
      <c r="A246" s="18" t="s">
        <v>245</v>
      </c>
      <c r="B246" s="19"/>
      <c r="C246" s="19"/>
      <c r="D246" s="19"/>
      <c r="E246" s="19"/>
      <c r="F246" s="19"/>
      <c r="G246" s="20"/>
    </row>
    <row r="247" spans="1:7" ht="15.75">
      <c r="A247" s="3">
        <v>235</v>
      </c>
      <c r="B247" s="3" t="s">
        <v>246</v>
      </c>
      <c r="C247" s="6" t="s">
        <v>247</v>
      </c>
      <c r="D247" s="3">
        <v>0.1</v>
      </c>
      <c r="E247" s="5">
        <v>0.0034599999999999995</v>
      </c>
      <c r="F247" s="16">
        <v>0.07</v>
      </c>
      <c r="G247" s="5">
        <v>0.069</v>
      </c>
    </row>
    <row r="248" spans="1:7" ht="15.75">
      <c r="A248" s="3">
        <v>236</v>
      </c>
      <c r="B248" s="3" t="s">
        <v>248</v>
      </c>
      <c r="C248" s="6" t="s">
        <v>247</v>
      </c>
      <c r="D248" s="3">
        <v>0.1</v>
      </c>
      <c r="E248" s="5">
        <v>0.0085116</v>
      </c>
      <c r="F248" s="16">
        <v>0.075</v>
      </c>
      <c r="G248" s="5">
        <v>0.04</v>
      </c>
    </row>
    <row r="249" spans="1:7" ht="15.75">
      <c r="A249" s="3">
        <v>237</v>
      </c>
      <c r="B249" s="3" t="s">
        <v>249</v>
      </c>
      <c r="C249" s="6" t="s">
        <v>247</v>
      </c>
      <c r="D249" s="3">
        <v>0.63</v>
      </c>
      <c r="E249" s="5">
        <v>0.0507928</v>
      </c>
      <c r="F249" s="16">
        <v>0.075</v>
      </c>
      <c r="G249" s="5">
        <v>0.49500000000000005</v>
      </c>
    </row>
    <row r="250" spans="1:7" ht="15.75">
      <c r="A250" s="3">
        <v>238</v>
      </c>
      <c r="B250" s="3" t="s">
        <v>250</v>
      </c>
      <c r="C250" s="6" t="s">
        <v>247</v>
      </c>
      <c r="D250" s="3">
        <v>0.25</v>
      </c>
      <c r="E250" s="5">
        <v>0.005397599999999999</v>
      </c>
      <c r="F250" s="16">
        <v>0.076</v>
      </c>
      <c r="G250" s="5">
        <v>0.14900000000000002</v>
      </c>
    </row>
    <row r="251" spans="1:7" ht="15.75">
      <c r="A251" s="3">
        <v>239</v>
      </c>
      <c r="B251" s="3" t="s">
        <v>251</v>
      </c>
      <c r="C251" s="6" t="s">
        <v>247</v>
      </c>
      <c r="D251" s="3">
        <v>0.063</v>
      </c>
      <c r="E251" s="5">
        <v>0.0013839999999999998</v>
      </c>
      <c r="F251" s="16">
        <v>0.042</v>
      </c>
      <c r="G251" s="5">
        <v>0.0377</v>
      </c>
    </row>
    <row r="252" spans="1:7" ht="15.75">
      <c r="A252" s="3">
        <v>240</v>
      </c>
      <c r="B252" s="3" t="s">
        <v>252</v>
      </c>
      <c r="C252" s="6" t="s">
        <v>247</v>
      </c>
      <c r="D252" s="3">
        <v>0.4</v>
      </c>
      <c r="E252" s="5">
        <v>0.19113039999999998</v>
      </c>
      <c r="F252" s="16">
        <v>0.307</v>
      </c>
      <c r="G252" s="5">
        <v>0.15300000000000002</v>
      </c>
    </row>
    <row r="253" spans="1:7" ht="15.75">
      <c r="A253" s="3">
        <v>241</v>
      </c>
      <c r="B253" s="3" t="s">
        <v>253</v>
      </c>
      <c r="C253" s="6" t="s">
        <v>247</v>
      </c>
      <c r="D253" s="3">
        <v>0.1</v>
      </c>
      <c r="E253" s="5">
        <v>0.0157776</v>
      </c>
      <c r="F253" s="16">
        <v>0.057</v>
      </c>
      <c r="G253" s="5">
        <v>0.045</v>
      </c>
    </row>
    <row r="254" spans="1:7" ht="15.75">
      <c r="A254" s="3">
        <v>242</v>
      </c>
      <c r="B254" s="3" t="s">
        <v>254</v>
      </c>
      <c r="C254" s="6" t="s">
        <v>247</v>
      </c>
      <c r="D254" s="3">
        <v>0.1</v>
      </c>
      <c r="E254" s="5">
        <v>0.012801999999999997</v>
      </c>
      <c r="F254" s="16">
        <v>0.063</v>
      </c>
      <c r="G254" s="5">
        <v>0.05000000000000001</v>
      </c>
    </row>
    <row r="255" spans="1:7" ht="15.75">
      <c r="A255" s="3">
        <v>243</v>
      </c>
      <c r="B255" s="3" t="s">
        <v>255</v>
      </c>
      <c r="C255" s="6" t="s">
        <v>247</v>
      </c>
      <c r="D255" s="3">
        <v>0.1</v>
      </c>
      <c r="E255" s="5">
        <v>0.021797999999999998</v>
      </c>
      <c r="F255" s="16">
        <v>0.101</v>
      </c>
      <c r="G255" s="5">
        <v>0.017</v>
      </c>
    </row>
    <row r="256" spans="1:7" ht="15.75">
      <c r="A256" s="3">
        <v>244</v>
      </c>
      <c r="B256" s="3" t="s">
        <v>256</v>
      </c>
      <c r="C256" s="6" t="s">
        <v>247</v>
      </c>
      <c r="D256" s="3">
        <v>0.1</v>
      </c>
      <c r="E256" s="5">
        <v>0.013355599999999999</v>
      </c>
      <c r="F256" s="16">
        <v>0.068</v>
      </c>
      <c r="G256" s="5">
        <v>0.05700000000000001</v>
      </c>
    </row>
    <row r="257" spans="1:7" ht="15.75">
      <c r="A257" s="3">
        <v>245</v>
      </c>
      <c r="B257" s="3" t="s">
        <v>257</v>
      </c>
      <c r="C257" s="6" t="s">
        <v>247</v>
      </c>
      <c r="D257" s="3">
        <v>0.1</v>
      </c>
      <c r="E257" s="5">
        <v>0.024427599999999994</v>
      </c>
      <c r="F257" s="16">
        <v>0.079</v>
      </c>
      <c r="G257" s="5">
        <v>0.036</v>
      </c>
    </row>
    <row r="258" spans="1:7" ht="15.75">
      <c r="A258" s="3">
        <v>246</v>
      </c>
      <c r="B258" s="3" t="s">
        <v>258</v>
      </c>
      <c r="C258" s="6" t="s">
        <v>247</v>
      </c>
      <c r="D258" s="3">
        <v>0.16</v>
      </c>
      <c r="E258" s="5">
        <v>0.0361224</v>
      </c>
      <c r="F258" s="16">
        <v>0.07</v>
      </c>
      <c r="G258" s="5">
        <v>0.07400000000000001</v>
      </c>
    </row>
    <row r="259" spans="1:7" ht="15.75">
      <c r="A259" s="3">
        <v>247</v>
      </c>
      <c r="B259" s="3" t="s">
        <v>259</v>
      </c>
      <c r="C259" s="6" t="s">
        <v>247</v>
      </c>
      <c r="D259" s="3">
        <v>0.25</v>
      </c>
      <c r="E259" s="5">
        <v>0.06034239999999999</v>
      </c>
      <c r="F259" s="16">
        <f>0.214+0.015</f>
        <v>0.22899999999999998</v>
      </c>
      <c r="G259" s="5">
        <f>0.086-0.015</f>
        <v>0.071</v>
      </c>
    </row>
    <row r="260" spans="1:7" ht="15.75">
      <c r="A260" s="3">
        <v>248</v>
      </c>
      <c r="B260" s="3" t="s">
        <v>260</v>
      </c>
      <c r="C260" s="6" t="s">
        <v>247</v>
      </c>
      <c r="D260" s="3">
        <v>0.04</v>
      </c>
      <c r="E260" s="5">
        <v>0.018614799999999997</v>
      </c>
      <c r="F260" s="16">
        <v>0.03</v>
      </c>
      <c r="G260" s="5">
        <v>0.006000000000000005</v>
      </c>
    </row>
    <row r="261" spans="1:7" ht="15.75">
      <c r="A261" s="3">
        <v>249</v>
      </c>
      <c r="B261" s="3" t="s">
        <v>261</v>
      </c>
      <c r="C261" s="6" t="s">
        <v>247</v>
      </c>
      <c r="D261" s="3">
        <v>0.04</v>
      </c>
      <c r="E261" s="5">
        <v>0</v>
      </c>
      <c r="F261" s="16">
        <v>0.025</v>
      </c>
      <c r="G261" s="5">
        <v>0.011000000000000003</v>
      </c>
    </row>
    <row r="262" spans="1:7" ht="15.75">
      <c r="A262" s="18" t="s">
        <v>262</v>
      </c>
      <c r="B262" s="19"/>
      <c r="C262" s="19"/>
      <c r="D262" s="19"/>
      <c r="E262" s="19"/>
      <c r="F262" s="19"/>
      <c r="G262" s="20"/>
    </row>
    <row r="263" spans="1:7" ht="15.75">
      <c r="A263" s="3">
        <v>250</v>
      </c>
      <c r="B263" s="3" t="s">
        <v>263</v>
      </c>
      <c r="C263" s="4" t="s">
        <v>264</v>
      </c>
      <c r="D263" s="3">
        <v>0.4</v>
      </c>
      <c r="E263" s="5">
        <v>0.12040799999999999</v>
      </c>
      <c r="F263" s="16">
        <v>0.179</v>
      </c>
      <c r="G263" s="5">
        <v>0.359695</v>
      </c>
    </row>
    <row r="264" spans="1:7" ht="15.75">
      <c r="A264" s="3">
        <v>251</v>
      </c>
      <c r="B264" s="3" t="s">
        <v>265</v>
      </c>
      <c r="C264" s="4" t="s">
        <v>264</v>
      </c>
      <c r="D264" s="3">
        <v>0.25</v>
      </c>
      <c r="E264" s="5">
        <v>0.07092999999999999</v>
      </c>
      <c r="F264" s="16">
        <v>0.116</v>
      </c>
      <c r="G264" s="5">
        <v>0.218</v>
      </c>
    </row>
    <row r="265" spans="1:7" ht="15.75">
      <c r="A265" s="18" t="s">
        <v>270</v>
      </c>
      <c r="B265" s="19"/>
      <c r="C265" s="19"/>
      <c r="D265" s="19"/>
      <c r="E265" s="19"/>
      <c r="F265" s="19"/>
      <c r="G265" s="20"/>
    </row>
    <row r="266" spans="1:7" ht="15.75">
      <c r="A266" s="3">
        <v>252</v>
      </c>
      <c r="B266" s="3" t="s">
        <v>267</v>
      </c>
      <c r="C266" s="4" t="s">
        <v>8</v>
      </c>
      <c r="D266" s="3">
        <v>0.4</v>
      </c>
      <c r="E266" s="5">
        <v>0.253</v>
      </c>
      <c r="F266" s="16">
        <v>0.32</v>
      </c>
      <c r="G266" s="5">
        <v>0</v>
      </c>
    </row>
    <row r="267" spans="1:7" ht="15.75">
      <c r="A267" s="3">
        <v>253</v>
      </c>
      <c r="B267" s="3" t="s">
        <v>268</v>
      </c>
      <c r="C267" s="4" t="s">
        <v>8</v>
      </c>
      <c r="D267" s="3">
        <v>0.63</v>
      </c>
      <c r="E267" s="5">
        <v>0.261</v>
      </c>
      <c r="F267" s="16">
        <v>0.504</v>
      </c>
      <c r="G267" s="5">
        <v>0</v>
      </c>
    </row>
    <row r="268" spans="1:7" ht="15.75">
      <c r="A268" s="3">
        <v>254</v>
      </c>
      <c r="B268" s="3" t="s">
        <v>269</v>
      </c>
      <c r="C268" s="4" t="s">
        <v>8</v>
      </c>
      <c r="D268" s="3">
        <v>0.63</v>
      </c>
      <c r="E268" s="5">
        <v>0.112</v>
      </c>
      <c r="F268" s="16">
        <v>0.51</v>
      </c>
      <c r="G268" s="5">
        <v>-0.006</v>
      </c>
    </row>
    <row r="269" spans="1:7" ht="15.75">
      <c r="A269" s="18" t="s">
        <v>271</v>
      </c>
      <c r="B269" s="19"/>
      <c r="C269" s="19"/>
      <c r="D269" s="19"/>
      <c r="E269" s="19"/>
      <c r="F269" s="19"/>
      <c r="G269" s="20"/>
    </row>
    <row r="270" spans="1:7" ht="15.75">
      <c r="A270" s="3">
        <v>255</v>
      </c>
      <c r="B270" s="3" t="s">
        <v>272</v>
      </c>
      <c r="C270" s="4" t="s">
        <v>8</v>
      </c>
      <c r="D270" s="3">
        <v>0.25</v>
      </c>
      <c r="E270" s="5">
        <v>0.012</v>
      </c>
      <c r="F270" s="16">
        <f>0.475+0.06</f>
        <v>0.5349999999999999</v>
      </c>
      <c r="G270" s="5">
        <f>-0.275-0.06</f>
        <v>-0.335</v>
      </c>
    </row>
    <row r="271" spans="1:7" ht="15.75">
      <c r="A271" s="3">
        <v>256</v>
      </c>
      <c r="B271" s="3" t="s">
        <v>273</v>
      </c>
      <c r="C271" s="4" t="s">
        <v>8</v>
      </c>
      <c r="D271" s="3">
        <v>0.25</v>
      </c>
      <c r="E271" s="5">
        <v>0.031</v>
      </c>
      <c r="F271" s="16">
        <f>0.725+0.12+0.01</f>
        <v>0.855</v>
      </c>
      <c r="G271" s="5">
        <f>-0.525-0.12-0.01</f>
        <v>-0.655</v>
      </c>
    </row>
    <row r="272" spans="1:7" ht="15.75">
      <c r="A272" s="3">
        <v>257</v>
      </c>
      <c r="B272" s="3" t="s">
        <v>274</v>
      </c>
      <c r="C272" s="4" t="s">
        <v>8</v>
      </c>
      <c r="D272" s="3">
        <v>0.16</v>
      </c>
      <c r="E272" s="5">
        <v>0.023</v>
      </c>
      <c r="F272" s="16">
        <f>0.318+0.06</f>
        <v>0.378</v>
      </c>
      <c r="G272" s="5">
        <f>-0.19-0.06</f>
        <v>-0.25</v>
      </c>
    </row>
    <row r="273" spans="1:7" ht="15.75">
      <c r="A273" s="3">
        <v>258</v>
      </c>
      <c r="B273" s="3" t="s">
        <v>275</v>
      </c>
      <c r="C273" s="4" t="s">
        <v>8</v>
      </c>
      <c r="D273" s="3">
        <v>0.25</v>
      </c>
      <c r="E273" s="5">
        <v>0.033</v>
      </c>
      <c r="F273" s="16">
        <f>0.595+0.072</f>
        <v>0.6669999999999999</v>
      </c>
      <c r="G273" s="5">
        <f>-0.395-0.072</f>
        <v>-0.467</v>
      </c>
    </row>
    <row r="274" spans="1:7" ht="15.75">
      <c r="A274" s="3">
        <v>259</v>
      </c>
      <c r="B274" s="3" t="s">
        <v>276</v>
      </c>
      <c r="C274" s="4" t="s">
        <v>8</v>
      </c>
      <c r="D274" s="3">
        <v>0.25</v>
      </c>
      <c r="E274" s="5">
        <v>0.029</v>
      </c>
      <c r="F274" s="16">
        <f>0.684+0.03</f>
        <v>0.7140000000000001</v>
      </c>
      <c r="G274" s="5">
        <f>-0.529-0.03</f>
        <v>-0.559</v>
      </c>
    </row>
    <row r="275" spans="1:7" ht="15.75">
      <c r="A275" s="3">
        <v>260</v>
      </c>
      <c r="B275" s="3" t="s">
        <v>277</v>
      </c>
      <c r="C275" s="4" t="s">
        <v>8</v>
      </c>
      <c r="D275" s="3">
        <v>0.25</v>
      </c>
      <c r="E275" s="5">
        <v>0.021</v>
      </c>
      <c r="F275" s="16">
        <f>0.699+0.03</f>
        <v>0.729</v>
      </c>
      <c r="G275" s="5">
        <f>-0.499-0.03</f>
        <v>-0.529</v>
      </c>
    </row>
    <row r="276" spans="1:7" ht="15.75">
      <c r="A276" s="3">
        <v>261</v>
      </c>
      <c r="B276" s="3" t="s">
        <v>278</v>
      </c>
      <c r="C276" s="4" t="s">
        <v>8</v>
      </c>
      <c r="D276" s="3">
        <v>0.25</v>
      </c>
      <c r="E276" s="5">
        <v>0.022</v>
      </c>
      <c r="F276" s="16">
        <v>0.575</v>
      </c>
      <c r="G276" s="5">
        <v>-0.375</v>
      </c>
    </row>
    <row r="277" spans="1:7" ht="15.75">
      <c r="A277" s="3">
        <v>262</v>
      </c>
      <c r="B277" s="3" t="s">
        <v>279</v>
      </c>
      <c r="C277" s="4" t="s">
        <v>8</v>
      </c>
      <c r="D277" s="3">
        <v>0.16</v>
      </c>
      <c r="E277" s="5">
        <v>0.023</v>
      </c>
      <c r="F277" s="16">
        <f>0.299+0.015+0.045</f>
        <v>0.359</v>
      </c>
      <c r="G277" s="5">
        <f>-0.09-0.015-0.045</f>
        <v>-0.15</v>
      </c>
    </row>
    <row r="278" spans="1:7" ht="15.75">
      <c r="A278" s="3">
        <v>263</v>
      </c>
      <c r="B278" s="3" t="s">
        <v>280</v>
      </c>
      <c r="C278" s="4" t="s">
        <v>8</v>
      </c>
      <c r="D278" s="3">
        <v>0.63</v>
      </c>
      <c r="E278" s="5">
        <v>0.016</v>
      </c>
      <c r="F278" s="16">
        <f>0.468+0.03+0.03+0.035+0.03</f>
        <v>0.5930000000000001</v>
      </c>
      <c r="G278" s="5">
        <f>0.094-0.03-0.03-0.035-0.03</f>
        <v>-0.031</v>
      </c>
    </row>
  </sheetData>
  <sheetProtection/>
  <mergeCells count="14">
    <mergeCell ref="A175:G175"/>
    <mergeCell ref="A211:G211"/>
    <mergeCell ref="A265:G265"/>
    <mergeCell ref="A269:G269"/>
    <mergeCell ref="A236:G236"/>
    <mergeCell ref="A246:G246"/>
    <mergeCell ref="A262:G262"/>
    <mergeCell ref="A135:G135"/>
    <mergeCell ref="A1:G1"/>
    <mergeCell ref="A2:G2"/>
    <mergeCell ref="A4:G4"/>
    <mergeCell ref="A48:G48"/>
    <mergeCell ref="A61:G61"/>
    <mergeCell ref="A87:G87"/>
  </mergeCells>
  <printOptions/>
  <pageMargins left="0.25" right="0.25" top="0.75" bottom="0.75" header="0.3" footer="0.3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2022-04-05T08:06:04Z</dcterms:modified>
  <cp:category/>
  <cp:version/>
  <cp:contentType/>
  <cp:contentStatus/>
</cp:coreProperties>
</file>